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7100" windowHeight="8835" activeTab="0"/>
  </bookViews>
  <sheets>
    <sheet name="action chart" sheetId="1" r:id="rId1"/>
  </sheets>
  <definedNames>
    <definedName name="Blank">'action chart'!$U$4</definedName>
    <definedName name="Check">'action chart'!$U$9:$U$10</definedName>
    <definedName name="Checkplus">'action chart'!$U$9:$U$11</definedName>
    <definedName name="CR">'action chart'!$W$43:$W$52</definedName>
    <definedName name="Disc">'action chart'!$U$4:$U$7</definedName>
    <definedName name="Discs">'action chart'!$U$5:$U$7</definedName>
    <definedName name="Grandmaster">'action chart'!$Y$18:$Y$30</definedName>
    <definedName name="Kai">'action chart'!$W$18:$W$28</definedName>
    <definedName name="Magnakai">'action chart'!$X$18:$X$28</definedName>
    <definedName name="pick">'action chart'!$U$14</definedName>
  </definedNames>
  <calcPr fullCalcOnLoad="1"/>
</workbook>
</file>

<file path=xl/sharedStrings.xml><?xml version="1.0" encoding="utf-8"?>
<sst xmlns="http://schemas.openxmlformats.org/spreadsheetml/2006/main" count="205" uniqueCount="148">
  <si>
    <t>Weapons</t>
  </si>
  <si>
    <t>Backpack</t>
  </si>
  <si>
    <t>Special Items</t>
  </si>
  <si>
    <t>Belt Pouch</t>
  </si>
  <si>
    <t xml:space="preserve">Gold Crowns: </t>
  </si>
  <si>
    <t xml:space="preserve">Lune: </t>
  </si>
  <si>
    <t xml:space="preserve">Kika: </t>
  </si>
  <si>
    <t>Equipped?</t>
  </si>
  <si>
    <t>CS</t>
  </si>
  <si>
    <t>EP</t>
  </si>
  <si>
    <t>Dagger</t>
  </si>
  <si>
    <t>Short Sword</t>
  </si>
  <si>
    <t>Spear</t>
  </si>
  <si>
    <t>Quarterstaff</t>
  </si>
  <si>
    <t>Sword</t>
  </si>
  <si>
    <t>Broadsword</t>
  </si>
  <si>
    <t>Mace</t>
  </si>
  <si>
    <t>Warhammer</t>
  </si>
  <si>
    <t>Axe</t>
  </si>
  <si>
    <t>Nobles:</t>
  </si>
  <si>
    <t>Orla:</t>
  </si>
  <si>
    <t>Kai</t>
  </si>
  <si>
    <t>Magnakai</t>
  </si>
  <si>
    <t>Grandmaster</t>
  </si>
  <si>
    <t>Disc</t>
  </si>
  <si>
    <t>Novice</t>
  </si>
  <si>
    <t>Intuite</t>
  </si>
  <si>
    <t>Doan</t>
  </si>
  <si>
    <t>Acolyte</t>
  </si>
  <si>
    <t>Initiate</t>
  </si>
  <si>
    <t>Aspirant</t>
  </si>
  <si>
    <t>Guardian</t>
  </si>
  <si>
    <t>Savant</t>
  </si>
  <si>
    <t>Master</t>
  </si>
  <si>
    <t>Kai Master</t>
  </si>
  <si>
    <t>Kai Master Senior</t>
  </si>
  <si>
    <t>Kai Master Superior</t>
  </si>
  <si>
    <t>Primate</t>
  </si>
  <si>
    <t>Tutelary</t>
  </si>
  <si>
    <t>Principalin</t>
  </si>
  <si>
    <t>Mentora</t>
  </si>
  <si>
    <t>Scion-kai</t>
  </si>
  <si>
    <t>Archmaster</t>
  </si>
  <si>
    <t>Kai Grand Master</t>
  </si>
  <si>
    <t>Kai Grand Master Senior</t>
  </si>
  <si>
    <t>Kai Grand Master Superior</t>
  </si>
  <si>
    <t>Kai Grand Sentinel</t>
  </si>
  <si>
    <t>Kai Grand Defender</t>
  </si>
  <si>
    <t>Kai Grand Guardian</t>
  </si>
  <si>
    <t>Sun Knight</t>
  </si>
  <si>
    <t>Sun Lord</t>
  </si>
  <si>
    <t>Sun Thane</t>
  </si>
  <si>
    <t>Grand Thane</t>
  </si>
  <si>
    <t>Grand Crown</t>
  </si>
  <si>
    <t>Sun Prince</t>
  </si>
  <si>
    <t>Kai Supreme Master</t>
  </si>
  <si>
    <t>Warmarn / Journeyman</t>
  </si>
  <si>
    <t>Ranks</t>
  </si>
  <si>
    <t>Weaponskill</t>
  </si>
  <si>
    <t>Camouflage</t>
  </si>
  <si>
    <t>Divination</t>
  </si>
  <si>
    <t>Mindblast</t>
  </si>
  <si>
    <t>Mindshield</t>
  </si>
  <si>
    <t>Mind Over Matter</t>
  </si>
  <si>
    <t>Healing</t>
  </si>
  <si>
    <t>Tracking</t>
  </si>
  <si>
    <t>Hunting</t>
  </si>
  <si>
    <t>Sixth Sense</t>
  </si>
  <si>
    <t>Animal Kinship</t>
  </si>
  <si>
    <t>Animal Control</t>
  </si>
  <si>
    <t>Pathsmanship</t>
  </si>
  <si>
    <t>Huntmastery</t>
  </si>
  <si>
    <t>Weaponmastery</t>
  </si>
  <si>
    <t>Nexus</t>
  </si>
  <si>
    <t>Invisibility</t>
  </si>
  <si>
    <t>Curing</t>
  </si>
  <si>
    <t>Psi-surge</t>
  </si>
  <si>
    <t>Psi-screen</t>
  </si>
  <si>
    <t>Telegnosis</t>
  </si>
  <si>
    <t>Deliverance</t>
  </si>
  <si>
    <t>Animal Mastery</t>
  </si>
  <si>
    <t>Grand Weaponmastery</t>
  </si>
  <si>
    <t>Grand Pathsmanship</t>
  </si>
  <si>
    <t>Assimilance</t>
  </si>
  <si>
    <t>Grand Huntmastery</t>
  </si>
  <si>
    <t>Grand Nexus</t>
  </si>
  <si>
    <t>Kai-surge</t>
  </si>
  <si>
    <t>Kai-screen</t>
  </si>
  <si>
    <t>Kai-alchemy</t>
  </si>
  <si>
    <t>Magi-magic</t>
  </si>
  <si>
    <t>a</t>
  </si>
  <si>
    <t>Check</t>
  </si>
  <si>
    <t>Damage:</t>
  </si>
  <si>
    <t>ENDURANCE</t>
  </si>
  <si>
    <t>COMBAT SKILL</t>
  </si>
  <si>
    <t>Starting:</t>
  </si>
  <si>
    <t>r</t>
  </si>
  <si>
    <t>Weaponskill magna</t>
  </si>
  <si>
    <t>(maximum 2 weapons)</t>
  </si>
  <si>
    <t>(maximum 12 items)</t>
  </si>
  <si>
    <t>Mindblast value</t>
  </si>
  <si>
    <t>Unarmed value</t>
  </si>
  <si>
    <t>Weaponskill value</t>
  </si>
  <si>
    <t>Grand weapon value</t>
  </si>
  <si>
    <t>mastery value</t>
  </si>
  <si>
    <t>weaponmastery check</t>
  </si>
  <si>
    <t>Quiver?</t>
  </si>
  <si>
    <t>No. of arrows carried</t>
  </si>
  <si>
    <t>NOTES</t>
  </si>
  <si>
    <t>Safekeeping</t>
  </si>
  <si>
    <t xml:space="preserve"> NO</t>
  </si>
  <si>
    <t>YES /</t>
  </si>
  <si>
    <t>CS circle</t>
  </si>
  <si>
    <t>EP circle</t>
  </si>
  <si>
    <t>CR</t>
  </si>
  <si>
    <t>Lone Wolf</t>
  </si>
  <si>
    <t>IF(OR(D4="Magnakai",D4="Grandmaster",AND(NOT(D4=""),COUNTA(D5:J16)&gt;0)),"Rank: "&amp;</t>
  </si>
  <si>
    <t>IF(OR(and(J39="a",ISNA(VLOOKUP(D39,U32:U40,2,FALSE))=FALSE),0,IF(VLOOKUP(D39,U32:U40,2,FALSE)="a",T25,0))+IF(ISNA(VLOOKUP(D39,F19:G22,2,FALSE))=TRUE,0,IF(VLOOKUP(D39,F19:G22,2,FALSE)="a",T25,0)),0),IF(J40="a",IF(ISNA(VLOOKUP(D40,C19:E23,3,FALSE))=TRUE,0,IF(VLOOKUP(D40,C19:E23,3,FALSE)="a",T25,0))+IF(ISNA(VLOOKUP(D40,F19:G22,2,FALSE)),0,IF(VLOOKUP(D40,F19:G22,2,FALSE)="a",T25,0)))),T25,IF(OR(IF(J39="a",IF(ISNA(VLOOKUP(D39,C19:E23,3,FALSE))=TRUE,0,IF(VLOOKUP(D39,C19:E23,3,FALSE)="r",2,0))+IF(ISNA(VLOOKUP(D39,F19:G22,2,FALSE))=TRUE,0,IF(VLOOKUP(D39,F19:G22,2,FALSE)="r",2,0)),0),IF(J40="a",IF(ISNA(VLOOKUP(D40,C19:E23,3,FALSE))=TRUE,0,IF(VLOOKUP(D40,C19:E23,3,FALSE)="r",2,0))+IF(ISNA(VLOOKUP(D40,F19:G22,2,FALSE)),0,IF(VLOOKUP(D40,F19:G22,2,FALSE)="r",2,0)))),2,0))</t>
  </si>
  <si>
    <t>OR(D39=U31,RIGHT(D39,12)=U31,RIGHT(D39,11)=U31,RIGHT(D39,10)=U31,RIGHT(D39,9)=U31,RIGHT(D39,6)=U31,RIGHT(D39,5)=U31,RIGHT(D39,4)=U31,RIGHT(D39,3)=U31)</t>
  </si>
  <si>
    <t>magna for grand</t>
  </si>
  <si>
    <t>Bonus:</t>
  </si>
  <si>
    <t>Enemy 1</t>
  </si>
  <si>
    <t>Enemy 2</t>
  </si>
  <si>
    <t>Enemy 3</t>
  </si>
  <si>
    <t>Enemy 4</t>
  </si>
  <si>
    <t>Enemy 5</t>
  </si>
  <si>
    <t>Enemy 6</t>
  </si>
  <si>
    <t>Enemy 7</t>
  </si>
  <si>
    <t>Enemy 8</t>
  </si>
  <si>
    <t>Enemy 9</t>
  </si>
  <si>
    <t>Combat:</t>
  </si>
  <si>
    <t>lw</t>
  </si>
  <si>
    <t>enemy</t>
  </si>
  <si>
    <t>K</t>
  </si>
  <si>
    <t>n/a</t>
  </si>
  <si>
    <t>-</t>
  </si>
  <si>
    <t xml:space="preserve">LW </t>
  </si>
  <si>
    <t xml:space="preserve">E </t>
  </si>
  <si>
    <t>Pick num</t>
  </si>
  <si>
    <t>ACTION CHART</t>
  </si>
  <si>
    <t>Notes</t>
  </si>
  <si>
    <t xml:space="preserve">Ain: </t>
  </si>
  <si>
    <t xml:space="preserve">Ren: </t>
  </si>
  <si>
    <t xml:space="preserve">Telc: </t>
  </si>
  <si>
    <t xml:space="preserve">Torqs: </t>
  </si>
  <si>
    <t xml:space="preserve">Kote: </t>
  </si>
  <si>
    <t xml:space="preserve">Total:   </t>
  </si>
  <si>
    <t/>
  </si>
</sst>
</file>

<file path=xl/styles.xml><?xml version="1.0" encoding="utf-8"?>
<styleSheet xmlns="http://schemas.openxmlformats.org/spreadsheetml/2006/main">
  <numFmts count="4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@\ &quot;Disciplines&quot;"/>
    <numFmt numFmtId="165" formatCode="&quot;Rank: &quot;@"/>
    <numFmt numFmtId="166" formatCode="&quot;Rank: &quot;\ @"/>
    <numFmt numFmtId="167" formatCode="&quot;Rank &quot;@"/>
    <numFmt numFmtId="168" formatCode="00000"/>
    <numFmt numFmtId="169" formatCode="\+#;#;\+#;@"/>
    <numFmt numFmtId="170" formatCode="\+#;#;\+0;@"/>
    <numFmt numFmtId="171" formatCode="\+#;\-#;\+0;@"/>
    <numFmt numFmtId="172" formatCode="&quot;CS:&quot;#"/>
    <numFmt numFmtId="173" formatCode="&quot;CS: &quot;#;&quot;CS: &quot;0"/>
    <numFmt numFmtId="174" formatCode="&quot;CS: &quot;"/>
    <numFmt numFmtId="175" formatCode="&quot;CS: &quot;#;&quot;CS &quot;#;&quot;CS &quot;0;&quot;&quot;@"/>
    <numFmt numFmtId="176" formatCode="&quot;CS: &quot;#;&quot;CS: &quot;#;&quot;CS: &quot;0;&quot;&quot;@"/>
    <numFmt numFmtId="177" formatCode="&quot;EP: &quot;#;&quot;EP: &quot;#;&quot;Dead&quot;;@"/>
    <numFmt numFmtId="178" formatCode=";;;&quot;Rank &quot;@"/>
    <numFmt numFmtId="179" formatCode=";;&quot;Rank: None&quot;;&quot;Rank: &quot;@"/>
    <numFmt numFmtId="180" formatCode="#;#;&quot;Dead&quot;;@"/>
    <numFmt numFmtId="181" formatCode="&quot;+&quot;#\ &quot;to bow rolls&quot;;\-#;;@"/>
    <numFmt numFmtId="182" formatCode="&quot; +&quot;#\ &quot;to bow rolls&quot;;\-#;;@"/>
    <numFmt numFmtId="183" formatCode="#;#;\1;@"/>
    <numFmt numFmtId="184" formatCode="#;#;\4;@"/>
    <numFmt numFmtId="185" formatCode="#;#;\2;@"/>
    <numFmt numFmtId="186" formatCode="#;#;\10;@"/>
    <numFmt numFmtId="187" formatCode="&quot;CS: &quot;#;&quot;CS: &quot;\-#;&quot;CS: &quot;0;&quot;&quot;@"/>
    <numFmt numFmtId="188" formatCode="#;&quot;Dead&quot;;&quot;Dead&quot;;@"/>
    <numFmt numFmtId="189" formatCode="&quot;EP: &quot;#;&quot;Dead&quot;;&quot;Dead&quot;;@"/>
    <numFmt numFmtId="190" formatCode="\+#;\-#;\+0;&quot;&quot;"/>
    <numFmt numFmtId="191" formatCode="\-#;@"/>
    <numFmt numFmtId="192" formatCode="\-#;#;0;@"/>
    <numFmt numFmtId="193" formatCode="#;#;\1;&quot;1&quot;"/>
    <numFmt numFmtId="194" formatCode="#;#;\1;&quot;1&quot;@"/>
    <numFmt numFmtId="195" formatCode="#;&quot;Pick num?&quot;"/>
    <numFmt numFmtId="196" formatCode="@&quot;?&quot;"/>
    <numFmt numFmtId="197" formatCode="&quot; &quot;@"/>
  </numFmts>
  <fonts count="14">
    <font>
      <sz val="10"/>
      <name val="Arial"/>
      <family val="0"/>
    </font>
    <font>
      <b/>
      <sz val="10"/>
      <name val="Arial"/>
      <family val="2"/>
    </font>
    <font>
      <sz val="10"/>
      <name val="Webdings"/>
      <family val="1"/>
    </font>
    <font>
      <sz val="12"/>
      <name val="Souvenir"/>
      <family val="0"/>
    </font>
    <font>
      <sz val="14"/>
      <name val="Souvenir"/>
      <family val="0"/>
    </font>
    <font>
      <sz val="16"/>
      <name val="Souvenir"/>
      <family val="0"/>
    </font>
    <font>
      <sz val="10"/>
      <name val="Souvenir"/>
      <family val="0"/>
    </font>
    <font>
      <sz val="11"/>
      <name val="Souvenir"/>
      <family val="0"/>
    </font>
    <font>
      <sz val="8"/>
      <name val="Souvenir"/>
      <family val="0"/>
    </font>
    <font>
      <i/>
      <sz val="10"/>
      <name val="Arial"/>
      <family val="2"/>
    </font>
    <font>
      <sz val="12"/>
      <name val="Webdings"/>
      <family val="1"/>
    </font>
    <font>
      <sz val="10"/>
      <color indexed="9"/>
      <name val="Arial"/>
      <family val="2"/>
    </font>
    <font>
      <b/>
      <sz val="20"/>
      <name val="Souvenir"/>
      <family val="0"/>
    </font>
    <font>
      <sz val="11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7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thin"/>
      <right style="thin"/>
      <top style="dashed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double"/>
      <top style="double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dashed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 style="dashed"/>
      <bottom style="dashed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thin"/>
      <bottom style="dashed"/>
    </border>
    <border>
      <left style="double"/>
      <right style="thin"/>
      <top style="dashed"/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hair"/>
      <right>
        <color indexed="63"/>
      </right>
      <top style="thin"/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1">
    <xf numFmtId="0" fontId="0" fillId="0" borderId="0" xfId="0" applyAlignment="1">
      <alignment/>
    </xf>
    <xf numFmtId="190" fontId="6" fillId="2" borderId="1" xfId="0" applyNumberFormat="1" applyFont="1" applyFill="1" applyBorder="1" applyAlignment="1" applyProtection="1">
      <alignment horizontal="center"/>
      <protection locked="0"/>
    </xf>
    <xf numFmtId="0" fontId="7" fillId="3" borderId="0" xfId="0" applyFont="1" applyFill="1" applyBorder="1" applyAlignment="1" applyProtection="1">
      <alignment horizontal="right"/>
      <protection hidden="1"/>
    </xf>
    <xf numFmtId="0" fontId="13" fillId="3" borderId="0" xfId="0" applyFont="1" applyFill="1" applyBorder="1" applyAlignment="1" applyProtection="1">
      <alignment/>
      <protection hidden="1"/>
    </xf>
    <xf numFmtId="192" fontId="7" fillId="4" borderId="2" xfId="0" applyNumberFormat="1" applyFont="1" applyFill="1" applyBorder="1" applyAlignment="1" applyProtection="1">
      <alignment horizontal="center"/>
      <protection hidden="1"/>
    </xf>
    <xf numFmtId="192" fontId="7" fillId="4" borderId="3" xfId="0" applyNumberFormat="1" applyFont="1" applyFill="1" applyBorder="1" applyAlignment="1" applyProtection="1">
      <alignment horizontal="center"/>
      <protection hidden="1"/>
    </xf>
    <xf numFmtId="0" fontId="7" fillId="4" borderId="4" xfId="0" applyFont="1" applyFill="1" applyBorder="1" applyAlignment="1" applyProtection="1">
      <alignment horizontal="center" vertical="center"/>
      <protection hidden="1"/>
    </xf>
    <xf numFmtId="0" fontId="0" fillId="3" borderId="5" xfId="0" applyFill="1" applyBorder="1" applyAlignment="1" applyProtection="1">
      <alignment/>
      <protection hidden="1"/>
    </xf>
    <xf numFmtId="0" fontId="0" fillId="3" borderId="6" xfId="0" applyFill="1" applyBorder="1" applyAlignment="1" applyProtection="1">
      <alignment/>
      <protection hidden="1"/>
    </xf>
    <xf numFmtId="0" fontId="0" fillId="3" borderId="7" xfId="0" applyFill="1" applyBorder="1" applyAlignment="1" applyProtection="1">
      <alignment/>
      <protection hidden="1"/>
    </xf>
    <xf numFmtId="0" fontId="0" fillId="0" borderId="8" xfId="0" applyFill="1" applyBorder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0" fillId="3" borderId="9" xfId="0" applyFill="1" applyBorder="1" applyAlignment="1" applyProtection="1">
      <alignment/>
      <protection hidden="1"/>
    </xf>
    <xf numFmtId="0" fontId="0" fillId="3" borderId="10" xfId="0" applyFill="1" applyBorder="1" applyAlignment="1" applyProtection="1">
      <alignment/>
      <protection hidden="1"/>
    </xf>
    <xf numFmtId="0" fontId="0" fillId="3" borderId="10" xfId="0" applyFill="1" applyBorder="1" applyAlignment="1" applyProtection="1">
      <alignment horizontal="left"/>
      <protection hidden="1"/>
    </xf>
    <xf numFmtId="0" fontId="0" fillId="3" borderId="0" xfId="0" applyFill="1" applyBorder="1" applyAlignment="1" applyProtection="1">
      <alignment/>
      <protection hidden="1"/>
    </xf>
    <xf numFmtId="0" fontId="0" fillId="3" borderId="11" xfId="0" applyFill="1" applyBorder="1" applyAlignment="1" applyProtection="1">
      <alignment/>
      <protection hidden="1"/>
    </xf>
    <xf numFmtId="0" fontId="0" fillId="4" borderId="5" xfId="0" applyFill="1" applyBorder="1" applyAlignment="1" applyProtection="1">
      <alignment/>
      <protection hidden="1"/>
    </xf>
    <xf numFmtId="0" fontId="6" fillId="3" borderId="0" xfId="0" applyFont="1" applyFill="1" applyBorder="1" applyAlignment="1" applyProtection="1">
      <alignment/>
      <protection hidden="1"/>
    </xf>
    <xf numFmtId="0" fontId="0" fillId="0" borderId="12" xfId="0" applyFill="1" applyBorder="1" applyAlignment="1" applyProtection="1">
      <alignment/>
      <protection hidden="1"/>
    </xf>
    <xf numFmtId="0" fontId="0" fillId="0" borderId="12" xfId="0" applyFill="1" applyBorder="1" applyAlignment="1" applyProtection="1">
      <alignment horizontal="right"/>
      <protection hidden="1"/>
    </xf>
    <xf numFmtId="0" fontId="0" fillId="0" borderId="13" xfId="0" applyFill="1" applyBorder="1" applyAlignment="1" applyProtection="1">
      <alignment/>
      <protection hidden="1"/>
    </xf>
    <xf numFmtId="0" fontId="0" fillId="0" borderId="14" xfId="0" applyFill="1" applyBorder="1" applyAlignment="1" applyProtection="1">
      <alignment/>
      <protection hidden="1"/>
    </xf>
    <xf numFmtId="0" fontId="0" fillId="3" borderId="11" xfId="0" applyFill="1" applyBorder="1" applyAlignment="1" applyProtection="1">
      <alignment horizontal="center"/>
      <protection hidden="1"/>
    </xf>
    <xf numFmtId="0" fontId="0" fillId="0" borderId="15" xfId="0" applyFill="1" applyBorder="1" applyAlignment="1" applyProtection="1">
      <alignment horizontal="center"/>
      <protection hidden="1"/>
    </xf>
    <xf numFmtId="0" fontId="0" fillId="0" borderId="15" xfId="0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0" fontId="0" fillId="0" borderId="16" xfId="0" applyFill="1" applyBorder="1" applyAlignment="1" applyProtection="1">
      <alignment/>
      <protection hidden="1"/>
    </xf>
    <xf numFmtId="0" fontId="3" fillId="4" borderId="9" xfId="0" applyFont="1" applyFill="1" applyBorder="1" applyAlignment="1" applyProtection="1">
      <alignment horizontal="center"/>
      <protection hidden="1"/>
    </xf>
    <xf numFmtId="0" fontId="6" fillId="4" borderId="17" xfId="0" applyNumberFormat="1" applyFont="1" applyFill="1" applyBorder="1" applyAlignment="1" applyProtection="1">
      <alignment horizontal="center"/>
      <protection hidden="1"/>
    </xf>
    <xf numFmtId="0" fontId="8" fillId="3" borderId="0" xfId="0" applyNumberFormat="1" applyFont="1" applyFill="1" applyBorder="1" applyAlignment="1" applyProtection="1">
      <alignment horizontal="center"/>
      <protection hidden="1"/>
    </xf>
    <xf numFmtId="0" fontId="6" fillId="4" borderId="17" xfId="0" applyFont="1" applyFill="1" applyBorder="1" applyAlignment="1" applyProtection="1">
      <alignment horizontal="center"/>
      <protection hidden="1"/>
    </xf>
    <xf numFmtId="0" fontId="1" fillId="0" borderId="18" xfId="0" applyFont="1" applyFill="1" applyBorder="1" applyAlignment="1" applyProtection="1">
      <alignment horizontal="center"/>
      <protection hidden="1"/>
    </xf>
    <xf numFmtId="0" fontId="6" fillId="3" borderId="0" xfId="0" applyFont="1" applyFill="1" applyBorder="1" applyAlignment="1" applyProtection="1">
      <alignment horizontal="center"/>
      <protection hidden="1"/>
    </xf>
    <xf numFmtId="0" fontId="0" fillId="0" borderId="19" xfId="0" applyFill="1" applyBorder="1" applyAlignment="1" applyProtection="1">
      <alignment/>
      <protection hidden="1"/>
    </xf>
    <xf numFmtId="0" fontId="6" fillId="4" borderId="20" xfId="0" applyNumberFormat="1" applyFont="1" applyFill="1" applyBorder="1" applyAlignment="1" applyProtection="1">
      <alignment horizontal="center"/>
      <protection hidden="1"/>
    </xf>
    <xf numFmtId="0" fontId="2" fillId="0" borderId="21" xfId="0" applyFont="1" applyFill="1" applyBorder="1" applyAlignment="1" applyProtection="1">
      <alignment horizontal="center"/>
      <protection hidden="1"/>
    </xf>
    <xf numFmtId="0" fontId="0" fillId="3" borderId="0" xfId="0" applyFill="1" applyAlignment="1" applyProtection="1">
      <alignment/>
      <protection hidden="1"/>
    </xf>
    <xf numFmtId="0" fontId="2" fillId="0" borderId="22" xfId="0" applyFont="1" applyFill="1" applyBorder="1" applyAlignment="1" applyProtection="1">
      <alignment horizontal="center"/>
      <protection hidden="1"/>
    </xf>
    <xf numFmtId="0" fontId="1" fillId="0" borderId="23" xfId="0" applyFont="1" applyFill="1" applyBorder="1" applyAlignment="1" applyProtection="1">
      <alignment horizontal="center"/>
      <protection hidden="1"/>
    </xf>
    <xf numFmtId="0" fontId="10" fillId="3" borderId="0" xfId="0" applyFont="1" applyFill="1" applyBorder="1" applyAlignment="1" applyProtection="1">
      <alignment horizontal="center"/>
      <protection hidden="1"/>
    </xf>
    <xf numFmtId="0" fontId="6" fillId="3" borderId="0" xfId="0" applyFont="1" applyFill="1" applyAlignment="1" applyProtection="1">
      <alignment horizontal="right"/>
      <protection hidden="1"/>
    </xf>
    <xf numFmtId="0" fontId="3" fillId="4" borderId="24" xfId="0" applyFont="1" applyFill="1" applyBorder="1" applyAlignment="1" applyProtection="1">
      <alignment horizontal="center"/>
      <protection hidden="1"/>
    </xf>
    <xf numFmtId="0" fontId="7" fillId="3" borderId="0" xfId="0" applyFont="1" applyFill="1" applyAlignment="1" applyProtection="1">
      <alignment horizontal="right"/>
      <protection hidden="1"/>
    </xf>
    <xf numFmtId="0" fontId="0" fillId="0" borderId="18" xfId="0" applyFill="1" applyBorder="1" applyAlignment="1" applyProtection="1">
      <alignment/>
      <protection hidden="1"/>
    </xf>
    <xf numFmtId="0" fontId="1" fillId="0" borderId="25" xfId="0" applyFont="1" applyFill="1" applyBorder="1" applyAlignment="1" applyProtection="1">
      <alignment horizontal="center"/>
      <protection hidden="1"/>
    </xf>
    <xf numFmtId="0" fontId="0" fillId="0" borderId="25" xfId="0" applyFill="1" applyBorder="1" applyAlignment="1" applyProtection="1">
      <alignment/>
      <protection hidden="1"/>
    </xf>
    <xf numFmtId="0" fontId="0" fillId="0" borderId="26" xfId="0" applyFill="1" applyBorder="1" applyAlignment="1" applyProtection="1">
      <alignment/>
      <protection hidden="1"/>
    </xf>
    <xf numFmtId="0" fontId="1" fillId="0" borderId="0" xfId="0" applyFont="1" applyFill="1" applyBorder="1" applyAlignment="1" applyProtection="1">
      <alignment horizontal="center"/>
      <protection hidden="1"/>
    </xf>
    <xf numFmtId="0" fontId="3" fillId="3" borderId="0" xfId="0" applyNumberFormat="1" applyFont="1" applyFill="1" applyBorder="1" applyAlignment="1" applyProtection="1">
      <alignment horizontal="left"/>
      <protection hidden="1"/>
    </xf>
    <xf numFmtId="0" fontId="10" fillId="3" borderId="0" xfId="0" applyFont="1" applyFill="1" applyBorder="1" applyAlignment="1" applyProtection="1">
      <alignment/>
      <protection hidden="1"/>
    </xf>
    <xf numFmtId="0" fontId="6" fillId="3" borderId="0" xfId="0" applyFont="1" applyFill="1" applyBorder="1" applyAlignment="1" applyProtection="1">
      <alignment/>
      <protection hidden="1"/>
    </xf>
    <xf numFmtId="0" fontId="0" fillId="3" borderId="0" xfId="0" applyFill="1" applyBorder="1" applyAlignment="1" applyProtection="1">
      <alignment horizontal="center"/>
      <protection hidden="1"/>
    </xf>
    <xf numFmtId="0" fontId="2" fillId="3" borderId="0" xfId="0" applyFont="1" applyFill="1" applyBorder="1" applyAlignment="1" applyProtection="1">
      <alignment horizontal="left"/>
      <protection hidden="1"/>
    </xf>
    <xf numFmtId="0" fontId="6" fillId="4" borderId="7" xfId="0" applyFont="1" applyFill="1" applyBorder="1" applyAlignment="1" applyProtection="1">
      <alignment horizontal="center"/>
      <protection hidden="1"/>
    </xf>
    <xf numFmtId="0" fontId="6" fillId="4" borderId="3" xfId="0" applyFont="1" applyFill="1" applyBorder="1" applyAlignment="1" applyProtection="1">
      <alignment horizontal="center"/>
      <protection hidden="1"/>
    </xf>
    <xf numFmtId="0" fontId="0" fillId="0" borderId="21" xfId="0" applyFill="1" applyBorder="1" applyAlignment="1" applyProtection="1">
      <alignment/>
      <protection hidden="1"/>
    </xf>
    <xf numFmtId="0" fontId="0" fillId="4" borderId="27" xfId="0" applyFill="1" applyBorder="1" applyAlignment="1" applyProtection="1">
      <alignment/>
      <protection hidden="1"/>
    </xf>
    <xf numFmtId="187" fontId="7" fillId="4" borderId="24" xfId="0" applyNumberFormat="1" applyFont="1" applyFill="1" applyBorder="1" applyAlignment="1" applyProtection="1">
      <alignment horizontal="center"/>
      <protection hidden="1"/>
    </xf>
    <xf numFmtId="189" fontId="7" fillId="4" borderId="28" xfId="0" applyNumberFormat="1" applyFont="1" applyFill="1" applyBorder="1" applyAlignment="1" applyProtection="1">
      <alignment horizontal="center"/>
      <protection hidden="1"/>
    </xf>
    <xf numFmtId="171" fontId="6" fillId="4" borderId="24" xfId="0" applyNumberFormat="1" applyFont="1" applyFill="1" applyBorder="1" applyAlignment="1" applyProtection="1">
      <alignment horizontal="center"/>
      <protection hidden="1"/>
    </xf>
    <xf numFmtId="0" fontId="0" fillId="0" borderId="0" xfId="0" applyNumberFormat="1" applyFill="1" applyBorder="1" applyAlignment="1" applyProtection="1">
      <alignment/>
      <protection hidden="1"/>
    </xf>
    <xf numFmtId="0" fontId="9" fillId="0" borderId="0" xfId="0" applyFont="1" applyFill="1" applyBorder="1" applyAlignment="1" applyProtection="1">
      <alignment/>
      <protection hidden="1"/>
    </xf>
    <xf numFmtId="0" fontId="2" fillId="3" borderId="0" xfId="0" applyFont="1" applyFill="1" applyBorder="1" applyAlignment="1" applyProtection="1">
      <alignment/>
      <protection hidden="1"/>
    </xf>
    <xf numFmtId="171" fontId="6" fillId="4" borderId="4" xfId="0" applyNumberFormat="1" applyFont="1" applyFill="1" applyBorder="1" applyAlignment="1" applyProtection="1">
      <alignment horizontal="center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3" fillId="3" borderId="0" xfId="0" applyFont="1" applyFill="1" applyBorder="1" applyAlignment="1" applyProtection="1">
      <alignment horizontal="left"/>
      <protection hidden="1"/>
    </xf>
    <xf numFmtId="0" fontId="2" fillId="3" borderId="6" xfId="0" applyFont="1" applyFill="1" applyBorder="1" applyAlignment="1" applyProtection="1">
      <alignment horizontal="center"/>
      <protection hidden="1"/>
    </xf>
    <xf numFmtId="0" fontId="0" fillId="3" borderId="6" xfId="0" applyFill="1" applyBorder="1" applyAlignment="1" applyProtection="1">
      <alignment horizontal="left"/>
      <protection hidden="1"/>
    </xf>
    <xf numFmtId="0" fontId="4" fillId="4" borderId="6" xfId="0" applyFont="1" applyFill="1" applyBorder="1" applyAlignment="1" applyProtection="1">
      <alignment horizontal="right"/>
      <protection hidden="1"/>
    </xf>
    <xf numFmtId="0" fontId="0" fillId="0" borderId="5" xfId="0" applyFill="1" applyBorder="1" applyAlignment="1" applyProtection="1">
      <alignment horizontal="right"/>
      <protection hidden="1"/>
    </xf>
    <xf numFmtId="0" fontId="0" fillId="0" borderId="6" xfId="0" applyFill="1" applyBorder="1" applyAlignment="1" applyProtection="1">
      <alignment/>
      <protection hidden="1"/>
    </xf>
    <xf numFmtId="0" fontId="0" fillId="0" borderId="7" xfId="0" applyFill="1" applyBorder="1" applyAlignment="1" applyProtection="1">
      <alignment/>
      <protection hidden="1"/>
    </xf>
    <xf numFmtId="0" fontId="0" fillId="0" borderId="9" xfId="0" applyFill="1" applyBorder="1" applyAlignment="1" applyProtection="1">
      <alignment horizontal="right"/>
      <protection hidden="1"/>
    </xf>
    <xf numFmtId="0" fontId="0" fillId="0" borderId="11" xfId="0" applyFill="1" applyBorder="1" applyAlignment="1" applyProtection="1">
      <alignment/>
      <protection hidden="1"/>
    </xf>
    <xf numFmtId="0" fontId="6" fillId="4" borderId="6" xfId="0" applyFont="1" applyFill="1" applyBorder="1" applyAlignment="1" applyProtection="1">
      <alignment horizontal="center"/>
      <protection hidden="1"/>
    </xf>
    <xf numFmtId="0" fontId="3" fillId="4" borderId="9" xfId="0" applyFont="1" applyFill="1" applyBorder="1" applyAlignment="1" applyProtection="1">
      <alignment horizontal="center" vertical="center"/>
      <protection hidden="1"/>
    </xf>
    <xf numFmtId="0" fontId="2" fillId="4" borderId="29" xfId="0" applyFont="1" applyFill="1" applyBorder="1" applyAlignment="1" applyProtection="1">
      <alignment horizontal="center"/>
      <protection hidden="1"/>
    </xf>
    <xf numFmtId="0" fontId="3" fillId="4" borderId="9" xfId="0" applyFont="1" applyFill="1" applyBorder="1" applyAlignment="1" applyProtection="1">
      <alignment horizontal="right" vertical="top"/>
      <protection hidden="1"/>
    </xf>
    <xf numFmtId="0" fontId="3" fillId="4" borderId="0" xfId="0" applyFont="1" applyFill="1" applyBorder="1" applyAlignment="1" applyProtection="1">
      <alignment horizontal="left" vertical="top"/>
      <protection hidden="1"/>
    </xf>
    <xf numFmtId="0" fontId="3" fillId="4" borderId="24" xfId="0" applyFont="1" applyFill="1" applyBorder="1" applyAlignment="1" applyProtection="1">
      <alignment horizontal="center" vertical="center"/>
      <protection hidden="1"/>
    </xf>
    <xf numFmtId="0" fontId="0" fillId="0" borderId="24" xfId="0" applyFill="1" applyBorder="1" applyAlignment="1" applyProtection="1">
      <alignment horizontal="right"/>
      <protection hidden="1"/>
    </xf>
    <xf numFmtId="0" fontId="0" fillId="0" borderId="10" xfId="0" applyFill="1" applyBorder="1" applyAlignment="1" applyProtection="1">
      <alignment/>
      <protection hidden="1"/>
    </xf>
    <xf numFmtId="0" fontId="0" fillId="0" borderId="28" xfId="0" applyFill="1" applyBorder="1" applyAlignment="1" applyProtection="1">
      <alignment/>
      <protection hidden="1"/>
    </xf>
    <xf numFmtId="0" fontId="0" fillId="0" borderId="17" xfId="0" applyFill="1" applyBorder="1" applyAlignment="1" applyProtection="1">
      <alignment horizontal="right"/>
      <protection hidden="1"/>
    </xf>
    <xf numFmtId="0" fontId="11" fillId="0" borderId="17" xfId="0" applyFont="1" applyFill="1" applyBorder="1" applyAlignment="1" applyProtection="1">
      <alignment/>
      <protection hidden="1"/>
    </xf>
    <xf numFmtId="0" fontId="0" fillId="0" borderId="0" xfId="0" applyNumberFormat="1" applyFill="1" applyAlignment="1" applyProtection="1">
      <alignment/>
      <protection hidden="1"/>
    </xf>
    <xf numFmtId="0" fontId="0" fillId="0" borderId="4" xfId="0" applyFill="1" applyBorder="1" applyAlignment="1" applyProtection="1">
      <alignment horizontal="right"/>
      <protection hidden="1"/>
    </xf>
    <xf numFmtId="0" fontId="11" fillId="0" borderId="4" xfId="0" applyFont="1" applyFill="1" applyBorder="1" applyAlignment="1" applyProtection="1">
      <alignment/>
      <protection hidden="1"/>
    </xf>
    <xf numFmtId="171" fontId="0" fillId="0" borderId="0" xfId="0" applyNumberFormat="1" applyFill="1" applyAlignment="1" applyProtection="1">
      <alignment/>
      <protection hidden="1"/>
    </xf>
    <xf numFmtId="190" fontId="0" fillId="0" borderId="0" xfId="0" applyNumberFormat="1" applyFill="1" applyAlignment="1" applyProtection="1">
      <alignment/>
      <protection hidden="1"/>
    </xf>
    <xf numFmtId="0" fontId="0" fillId="0" borderId="30" xfId="0" applyFill="1" applyBorder="1" applyAlignment="1" applyProtection="1">
      <alignment horizontal="right"/>
      <protection hidden="1"/>
    </xf>
    <xf numFmtId="0" fontId="11" fillId="0" borderId="30" xfId="0" applyFont="1" applyFill="1" applyBorder="1" applyAlignment="1" applyProtection="1">
      <alignment/>
      <protection hidden="1"/>
    </xf>
    <xf numFmtId="0" fontId="3" fillId="4" borderId="30" xfId="0" applyFont="1" applyFill="1" applyBorder="1" applyAlignment="1" applyProtection="1">
      <alignment horizontal="center"/>
      <protection hidden="1"/>
    </xf>
    <xf numFmtId="0" fontId="0" fillId="0" borderId="0" xfId="0" applyFill="1" applyAlignment="1" applyProtection="1">
      <alignment horizontal="right"/>
      <protection hidden="1"/>
    </xf>
    <xf numFmtId="0" fontId="6" fillId="4" borderId="9" xfId="0" applyFont="1" applyFill="1" applyBorder="1" applyAlignment="1" applyProtection="1">
      <alignment/>
      <protection hidden="1"/>
    </xf>
    <xf numFmtId="0" fontId="6" fillId="4" borderId="8" xfId="0" applyFont="1" applyFill="1" applyBorder="1" applyAlignment="1" applyProtection="1">
      <alignment horizontal="right"/>
      <protection hidden="1"/>
    </xf>
    <xf numFmtId="0" fontId="6" fillId="4" borderId="11" xfId="0" applyFont="1" applyFill="1" applyBorder="1" applyAlignment="1" applyProtection="1">
      <alignment/>
      <protection hidden="1"/>
    </xf>
    <xf numFmtId="0" fontId="6" fillId="4" borderId="24" xfId="0" applyFont="1" applyFill="1" applyBorder="1" applyAlignment="1" applyProtection="1">
      <alignment/>
      <protection hidden="1"/>
    </xf>
    <xf numFmtId="0" fontId="6" fillId="4" borderId="10" xfId="0" applyFont="1" applyFill="1" applyBorder="1" applyAlignment="1" applyProtection="1">
      <alignment horizontal="left" vertical="center"/>
      <protection hidden="1"/>
    </xf>
    <xf numFmtId="0" fontId="6" fillId="4" borderId="10" xfId="0" applyFont="1" applyFill="1" applyBorder="1" applyAlignment="1" applyProtection="1">
      <alignment/>
      <protection hidden="1"/>
    </xf>
    <xf numFmtId="0" fontId="6" fillId="4" borderId="28" xfId="0" applyFont="1" applyFill="1" applyBorder="1" applyAlignment="1" applyProtection="1">
      <alignment/>
      <protection hidden="1"/>
    </xf>
    <xf numFmtId="0" fontId="0" fillId="3" borderId="24" xfId="0" applyFill="1" applyBorder="1" applyAlignment="1" applyProtection="1">
      <alignment/>
      <protection hidden="1"/>
    </xf>
    <xf numFmtId="0" fontId="0" fillId="3" borderId="28" xfId="0" applyFill="1" applyBorder="1" applyAlignment="1" applyProtection="1">
      <alignment/>
      <protection hidden="1"/>
    </xf>
    <xf numFmtId="171" fontId="0" fillId="0" borderId="0" xfId="0" applyNumberFormat="1" applyFill="1" applyAlignment="1" applyProtection="1">
      <alignment horizontal="right"/>
      <protection hidden="1"/>
    </xf>
    <xf numFmtId="187" fontId="7" fillId="2" borderId="1" xfId="0" applyNumberFormat="1" applyFont="1" applyFill="1" applyBorder="1" applyAlignment="1" applyProtection="1">
      <alignment horizontal="center"/>
      <protection locked="0"/>
    </xf>
    <xf numFmtId="189" fontId="7" fillId="2" borderId="1" xfId="0" applyNumberFormat="1" applyFont="1" applyFill="1" applyBorder="1" applyAlignment="1" applyProtection="1">
      <alignment horizontal="center"/>
      <protection locked="0"/>
    </xf>
    <xf numFmtId="184" fontId="6" fillId="2" borderId="1" xfId="0" applyNumberFormat="1" applyFont="1" applyFill="1" applyBorder="1" applyAlignment="1" applyProtection="1">
      <alignment horizontal="center"/>
      <protection locked="0"/>
    </xf>
    <xf numFmtId="186" fontId="6" fillId="2" borderId="1" xfId="0" applyNumberFormat="1" applyFont="1" applyFill="1" applyBorder="1" applyAlignment="1" applyProtection="1">
      <alignment horizontal="center"/>
      <protection locked="0"/>
    </xf>
    <xf numFmtId="183" fontId="6" fillId="2" borderId="1" xfId="0" applyNumberFormat="1" applyFont="1" applyFill="1" applyBorder="1" applyAlignment="1" applyProtection="1">
      <alignment horizontal="center"/>
      <protection locked="0"/>
    </xf>
    <xf numFmtId="185" fontId="6" fillId="2" borderId="1" xfId="0" applyNumberFormat="1" applyFont="1" applyFill="1" applyBorder="1" applyAlignment="1" applyProtection="1">
      <alignment horizontal="center"/>
      <protection locked="0"/>
    </xf>
    <xf numFmtId="1" fontId="6" fillId="4" borderId="1" xfId="0" applyNumberFormat="1" applyFont="1" applyFill="1" applyBorder="1" applyAlignment="1" applyProtection="1">
      <alignment horizontal="center"/>
      <protection locked="0"/>
    </xf>
    <xf numFmtId="1" fontId="6" fillId="2" borderId="1" xfId="0" applyNumberFormat="1" applyFont="1" applyFill="1" applyBorder="1" applyAlignment="1" applyProtection="1">
      <alignment horizontal="center"/>
      <protection locked="0"/>
    </xf>
    <xf numFmtId="196" fontId="7" fillId="4" borderId="31" xfId="0" applyNumberFormat="1" applyFont="1" applyFill="1" applyBorder="1" applyAlignment="1" applyProtection="1">
      <alignment horizontal="center"/>
      <protection hidden="1"/>
    </xf>
    <xf numFmtId="194" fontId="6" fillId="2" borderId="1" xfId="0" applyNumberFormat="1" applyFont="1" applyFill="1" applyBorder="1" applyAlignment="1" applyProtection="1">
      <alignment horizontal="center"/>
      <protection locked="0"/>
    </xf>
    <xf numFmtId="197" fontId="3" fillId="4" borderId="32" xfId="0" applyNumberFormat="1" applyFont="1" applyFill="1" applyBorder="1" applyAlignment="1" applyProtection="1">
      <alignment horizontal="left"/>
      <protection hidden="1"/>
    </xf>
    <xf numFmtId="171" fontId="3" fillId="2" borderId="1" xfId="0" applyNumberFormat="1" applyFont="1" applyFill="1" applyBorder="1" applyAlignment="1" applyProtection="1">
      <alignment horizontal="center"/>
      <protection locked="0"/>
    </xf>
    <xf numFmtId="170" fontId="3" fillId="2" borderId="1" xfId="0" applyNumberFormat="1" applyFont="1" applyFill="1" applyBorder="1" applyAlignment="1" applyProtection="1">
      <alignment horizontal="center"/>
      <protection locked="0"/>
    </xf>
    <xf numFmtId="0" fontId="3" fillId="4" borderId="3" xfId="0" applyFont="1" applyFill="1" applyBorder="1" applyAlignment="1" applyProtection="1">
      <alignment horizontal="center"/>
      <protection hidden="1"/>
    </xf>
    <xf numFmtId="0" fontId="10" fillId="4" borderId="3" xfId="0" applyFont="1" applyFill="1" applyBorder="1" applyAlignment="1" applyProtection="1">
      <alignment horizontal="center"/>
      <protection hidden="1"/>
    </xf>
    <xf numFmtId="0" fontId="7" fillId="4" borderId="31" xfId="0" applyNumberFormat="1" applyFont="1" applyFill="1" applyBorder="1" applyAlignment="1" applyProtection="1">
      <alignment horizontal="center"/>
      <protection hidden="1"/>
    </xf>
    <xf numFmtId="0" fontId="4" fillId="4" borderId="5" xfId="0" applyFont="1" applyFill="1" applyBorder="1" applyAlignment="1" applyProtection="1">
      <alignment horizontal="right"/>
      <protection hidden="1"/>
    </xf>
    <xf numFmtId="0" fontId="4" fillId="4" borderId="6" xfId="0" applyFont="1" applyFill="1" applyBorder="1" applyAlignment="1" applyProtection="1">
      <alignment horizontal="center" vertical="center"/>
      <protection hidden="1"/>
    </xf>
    <xf numFmtId="0" fontId="3" fillId="4" borderId="33" xfId="0" applyFont="1" applyFill="1" applyBorder="1" applyAlignment="1" applyProtection="1">
      <alignment horizontal="left"/>
      <protection hidden="1"/>
    </xf>
    <xf numFmtId="0" fontId="3" fillId="4" borderId="6" xfId="0" applyFont="1" applyFill="1" applyBorder="1" applyAlignment="1" applyProtection="1">
      <alignment horizontal="center" vertical="center"/>
      <protection hidden="1"/>
    </xf>
    <xf numFmtId="0" fontId="3" fillId="4" borderId="7" xfId="0" applyFont="1" applyFill="1" applyBorder="1" applyAlignment="1" applyProtection="1">
      <alignment horizontal="center" vertical="center"/>
      <protection hidden="1"/>
    </xf>
    <xf numFmtId="0" fontId="4" fillId="4" borderId="5" xfId="0" applyFont="1" applyFill="1" applyBorder="1" applyAlignment="1" applyProtection="1">
      <alignment horizontal="left"/>
      <protection hidden="1"/>
    </xf>
    <xf numFmtId="0" fontId="4" fillId="4" borderId="5" xfId="0" applyFont="1" applyFill="1" applyBorder="1" applyAlignment="1" applyProtection="1">
      <alignment horizontal="center" vertical="center"/>
      <protection hidden="1"/>
    </xf>
    <xf numFmtId="0" fontId="4" fillId="4" borderId="6" xfId="0" applyFont="1" applyFill="1" applyBorder="1" applyAlignment="1" applyProtection="1">
      <alignment horizontal="right" vertical="center"/>
      <protection hidden="1"/>
    </xf>
    <xf numFmtId="0" fontId="2" fillId="4" borderId="34" xfId="0" applyFont="1" applyFill="1" applyBorder="1" applyAlignment="1" applyProtection="1">
      <alignment horizontal="center"/>
      <protection hidden="1"/>
    </xf>
    <xf numFmtId="0" fontId="2" fillId="4" borderId="35" xfId="0" applyFont="1" applyFill="1" applyBorder="1" applyAlignment="1" applyProtection="1">
      <alignment horizontal="center"/>
      <protection hidden="1"/>
    </xf>
    <xf numFmtId="0" fontId="3" fillId="4" borderId="10" xfId="0" applyFont="1" applyFill="1" applyBorder="1" applyAlignment="1" applyProtection="1">
      <alignment horizontal="right" vertical="center"/>
      <protection hidden="1"/>
    </xf>
    <xf numFmtId="0" fontId="0" fillId="2" borderId="36" xfId="0" applyFill="1" applyBorder="1" applyAlignment="1" applyProtection="1">
      <alignment/>
      <protection locked="0"/>
    </xf>
    <xf numFmtId="0" fontId="0" fillId="2" borderId="37" xfId="0" applyFill="1" applyBorder="1" applyAlignment="1" applyProtection="1">
      <alignment/>
      <protection locked="0"/>
    </xf>
    <xf numFmtId="0" fontId="0" fillId="2" borderId="38" xfId="0" applyFill="1" applyBorder="1" applyAlignment="1" applyProtection="1">
      <alignment/>
      <protection locked="0"/>
    </xf>
    <xf numFmtId="197" fontId="3" fillId="2" borderId="32" xfId="0" applyNumberFormat="1" applyFont="1" applyFill="1" applyBorder="1" applyAlignment="1" applyProtection="1">
      <alignment horizontal="left"/>
      <protection locked="0"/>
    </xf>
    <xf numFmtId="197" fontId="3" fillId="2" borderId="33" xfId="0" applyNumberFormat="1" applyFont="1" applyFill="1" applyBorder="1" applyAlignment="1" applyProtection="1">
      <alignment horizontal="left"/>
      <protection locked="0"/>
    </xf>
    <xf numFmtId="197" fontId="3" fillId="2" borderId="27" xfId="0" applyNumberFormat="1" applyFont="1" applyFill="1" applyBorder="1" applyAlignment="1" applyProtection="1">
      <alignment horizontal="left"/>
      <protection locked="0"/>
    </xf>
    <xf numFmtId="0" fontId="0" fillId="2" borderId="39" xfId="0" applyFill="1" applyBorder="1" applyAlignment="1" applyProtection="1">
      <alignment/>
      <protection locked="0"/>
    </xf>
    <xf numFmtId="0" fontId="6" fillId="3" borderId="0" xfId="0" applyFont="1" applyFill="1" applyBorder="1" applyAlignment="1" applyProtection="1">
      <alignment horizontal="left" vertical="top"/>
      <protection hidden="1"/>
    </xf>
    <xf numFmtId="0" fontId="10" fillId="4" borderId="40" xfId="0" applyFont="1" applyFill="1" applyBorder="1" applyAlignment="1" applyProtection="1">
      <alignment horizontal="center"/>
      <protection hidden="1"/>
    </xf>
    <xf numFmtId="0" fontId="10" fillId="4" borderId="40" xfId="0" applyFont="1" applyFill="1" applyBorder="1" applyAlignment="1" applyProtection="1">
      <alignment horizontal="center" shrinkToFit="1"/>
      <protection hidden="1"/>
    </xf>
    <xf numFmtId="0" fontId="0" fillId="2" borderId="0" xfId="0" applyFill="1" applyAlignment="1" applyProtection="1">
      <alignment/>
      <protection hidden="1"/>
    </xf>
    <xf numFmtId="0" fontId="0" fillId="2" borderId="8" xfId="0" applyFill="1" applyBorder="1" applyAlignment="1" applyProtection="1">
      <alignment/>
      <protection hidden="1"/>
    </xf>
    <xf numFmtId="0" fontId="0" fillId="2" borderId="0" xfId="0" applyFill="1" applyBorder="1" applyAlignment="1" applyProtection="1">
      <alignment/>
      <protection hidden="1"/>
    </xf>
    <xf numFmtId="197" fontId="3" fillId="2" borderId="32" xfId="0" applyNumberFormat="1" applyFont="1" applyFill="1" applyBorder="1" applyAlignment="1" applyProtection="1">
      <alignment horizontal="left" vertical="center"/>
      <protection locked="0"/>
    </xf>
    <xf numFmtId="197" fontId="3" fillId="2" borderId="33" xfId="0" applyNumberFormat="1" applyFont="1" applyFill="1" applyBorder="1" applyAlignment="1" applyProtection="1">
      <alignment horizontal="left" vertical="center"/>
      <protection locked="0"/>
    </xf>
    <xf numFmtId="197" fontId="3" fillId="2" borderId="41" xfId="0" applyNumberFormat="1" applyFont="1" applyFill="1" applyBorder="1" applyAlignment="1" applyProtection="1">
      <alignment horizontal="left" vertical="center"/>
      <protection locked="0"/>
    </xf>
    <xf numFmtId="0" fontId="6" fillId="4" borderId="5" xfId="0" applyFont="1" applyFill="1" applyBorder="1" applyAlignment="1" applyProtection="1">
      <alignment horizontal="center"/>
      <protection hidden="1"/>
    </xf>
    <xf numFmtId="0" fontId="6" fillId="4" borderId="7" xfId="0" applyFont="1" applyFill="1" applyBorder="1" applyAlignment="1" applyProtection="1">
      <alignment horizontal="center"/>
      <protection hidden="1"/>
    </xf>
    <xf numFmtId="0" fontId="0" fillId="4" borderId="6" xfId="0" applyFill="1" applyBorder="1" applyAlignment="1" applyProtection="1">
      <alignment/>
      <protection hidden="1"/>
    </xf>
    <xf numFmtId="0" fontId="0" fillId="4" borderId="7" xfId="0" applyFill="1" applyBorder="1" applyAlignment="1" applyProtection="1">
      <alignment/>
      <protection hidden="1"/>
    </xf>
    <xf numFmtId="0" fontId="6" fillId="4" borderId="9" xfId="0" applyFont="1" applyFill="1" applyBorder="1" applyAlignment="1" applyProtection="1">
      <alignment horizontal="center"/>
      <protection hidden="1"/>
    </xf>
    <xf numFmtId="0" fontId="6" fillId="4" borderId="11" xfId="0" applyFont="1" applyFill="1" applyBorder="1" applyAlignment="1" applyProtection="1">
      <alignment horizontal="center"/>
      <protection hidden="1"/>
    </xf>
    <xf numFmtId="0" fontId="3" fillId="2" borderId="42" xfId="0" applyFont="1" applyFill="1" applyBorder="1" applyAlignment="1" applyProtection="1">
      <alignment horizontal="center" vertical="center"/>
      <protection locked="0"/>
    </xf>
    <xf numFmtId="0" fontId="0" fillId="2" borderId="43" xfId="0" applyFill="1" applyBorder="1" applyAlignment="1" applyProtection="1">
      <alignment/>
      <protection locked="0"/>
    </xf>
    <xf numFmtId="0" fontId="3" fillId="4" borderId="5" xfId="0" applyFont="1" applyFill="1" applyBorder="1" applyAlignment="1" applyProtection="1">
      <alignment horizontal="center"/>
      <protection hidden="1"/>
    </xf>
    <xf numFmtId="0" fontId="3" fillId="4" borderId="6" xfId="0" applyFont="1" applyFill="1" applyBorder="1" applyAlignment="1" applyProtection="1">
      <alignment horizontal="center"/>
      <protection hidden="1"/>
    </xf>
    <xf numFmtId="182" fontId="6" fillId="3" borderId="9" xfId="0" applyNumberFormat="1" applyFont="1" applyFill="1" applyBorder="1" applyAlignment="1" applyProtection="1">
      <alignment horizontal="left"/>
      <protection hidden="1"/>
    </xf>
    <xf numFmtId="182" fontId="6" fillId="3" borderId="0" xfId="0" applyNumberFormat="1" applyFont="1" applyFill="1" applyBorder="1" applyAlignment="1" applyProtection="1">
      <alignment horizontal="left"/>
      <protection hidden="1"/>
    </xf>
    <xf numFmtId="0" fontId="12" fillId="3" borderId="6" xfId="0" applyFont="1" applyFill="1" applyBorder="1" applyAlignment="1" applyProtection="1">
      <alignment horizontal="center"/>
      <protection hidden="1"/>
    </xf>
    <xf numFmtId="197" fontId="6" fillId="2" borderId="32" xfId="0" applyNumberFormat="1" applyFont="1" applyFill="1" applyBorder="1" applyAlignment="1" applyProtection="1">
      <alignment horizontal="left"/>
      <protection locked="0"/>
    </xf>
    <xf numFmtId="197" fontId="6" fillId="2" borderId="33" xfId="0" applyNumberFormat="1" applyFont="1" applyFill="1" applyBorder="1" applyAlignment="1" applyProtection="1">
      <alignment horizontal="left"/>
      <protection locked="0"/>
    </xf>
    <xf numFmtId="197" fontId="6" fillId="2" borderId="27" xfId="0" applyNumberFormat="1" applyFont="1" applyFill="1" applyBorder="1" applyAlignment="1" applyProtection="1">
      <alignment horizontal="left"/>
      <protection locked="0"/>
    </xf>
    <xf numFmtId="197" fontId="3" fillId="2" borderId="32" xfId="0" applyNumberFormat="1" applyFont="1" applyFill="1" applyBorder="1" applyAlignment="1" applyProtection="1">
      <alignment horizontal="left" vertical="center"/>
      <protection hidden="1"/>
    </xf>
    <xf numFmtId="197" fontId="3" fillId="2" borderId="33" xfId="0" applyNumberFormat="1" applyFont="1" applyFill="1" applyBorder="1" applyAlignment="1" applyProtection="1">
      <alignment horizontal="left" vertical="center"/>
      <protection hidden="1"/>
    </xf>
    <xf numFmtId="49" fontId="7" fillId="2" borderId="44" xfId="0" applyNumberFormat="1" applyFont="1" applyFill="1" applyBorder="1" applyAlignment="1" applyProtection="1">
      <alignment horizontal="left"/>
      <protection locked="0"/>
    </xf>
    <xf numFmtId="49" fontId="7" fillId="2" borderId="33" xfId="0" applyNumberFormat="1" applyFont="1" applyFill="1" applyBorder="1" applyAlignment="1" applyProtection="1">
      <alignment horizontal="left"/>
      <protection locked="0"/>
    </xf>
    <xf numFmtId="49" fontId="7" fillId="2" borderId="27" xfId="0" applyNumberFormat="1" applyFont="1" applyFill="1" applyBorder="1" applyAlignment="1" applyProtection="1">
      <alignment horizontal="left"/>
      <protection locked="0"/>
    </xf>
    <xf numFmtId="179" fontId="3" fillId="4" borderId="5" xfId="0" applyNumberFormat="1" applyFont="1" applyFill="1" applyBorder="1" applyAlignment="1" applyProtection="1">
      <alignment horizontal="center" vertical="center" wrapText="1"/>
      <protection hidden="1"/>
    </xf>
    <xf numFmtId="179" fontId="3" fillId="4" borderId="6" xfId="0" applyNumberFormat="1" applyFont="1" applyFill="1" applyBorder="1" applyAlignment="1" applyProtection="1">
      <alignment horizontal="center" vertical="center" wrapText="1"/>
      <protection hidden="1"/>
    </xf>
    <xf numFmtId="179" fontId="3" fillId="4" borderId="7" xfId="0" applyNumberFormat="1" applyFont="1" applyFill="1" applyBorder="1" applyAlignment="1" applyProtection="1">
      <alignment horizontal="center" vertical="center" wrapText="1"/>
      <protection hidden="1"/>
    </xf>
    <xf numFmtId="182" fontId="0" fillId="3" borderId="9" xfId="0" applyNumberFormat="1" applyFill="1" applyBorder="1" applyAlignment="1" applyProtection="1">
      <alignment horizontal="left"/>
      <protection hidden="1"/>
    </xf>
    <xf numFmtId="182" fontId="0" fillId="3" borderId="0" xfId="0" applyNumberFormat="1" applyFill="1" applyBorder="1" applyAlignment="1" applyProtection="1">
      <alignment horizontal="left"/>
      <protection hidden="1"/>
    </xf>
    <xf numFmtId="0" fontId="3" fillId="2" borderId="5" xfId="0" applyFont="1" applyFill="1" applyBorder="1" applyAlignment="1" applyProtection="1">
      <alignment horizontal="left"/>
      <protection hidden="1"/>
    </xf>
    <xf numFmtId="0" fontId="3" fillId="2" borderId="6" xfId="0" applyFont="1" applyFill="1" applyBorder="1" applyAlignment="1" applyProtection="1">
      <alignment horizontal="left"/>
      <protection hidden="1"/>
    </xf>
    <xf numFmtId="0" fontId="3" fillId="2" borderId="7" xfId="0" applyFont="1" applyFill="1" applyBorder="1" applyAlignment="1" applyProtection="1">
      <alignment horizontal="left"/>
      <protection hidden="1"/>
    </xf>
    <xf numFmtId="0" fontId="7" fillId="4" borderId="5" xfId="0" applyFont="1" applyFill="1" applyBorder="1" applyAlignment="1" applyProtection="1">
      <alignment horizontal="center"/>
      <protection hidden="1"/>
    </xf>
    <xf numFmtId="0" fontId="7" fillId="4" borderId="7" xfId="0" applyFont="1" applyFill="1" applyBorder="1" applyAlignment="1" applyProtection="1">
      <alignment horizontal="center"/>
      <protection hidden="1"/>
    </xf>
    <xf numFmtId="49" fontId="3" fillId="4" borderId="9" xfId="0" applyNumberFormat="1" applyFont="1" applyFill="1" applyBorder="1" applyAlignment="1" applyProtection="1">
      <alignment horizontal="center" vertical="center"/>
      <protection hidden="1"/>
    </xf>
    <xf numFmtId="0" fontId="3" fillId="4" borderId="11" xfId="0" applyNumberFormat="1" applyFont="1" applyFill="1" applyBorder="1" applyAlignment="1" applyProtection="1">
      <alignment horizontal="center" vertical="center"/>
      <protection hidden="1"/>
    </xf>
    <xf numFmtId="0" fontId="3" fillId="4" borderId="9" xfId="0" applyNumberFormat="1" applyFont="1" applyFill="1" applyBorder="1" applyAlignment="1" applyProtection="1">
      <alignment horizontal="center" vertical="center"/>
      <protection hidden="1"/>
    </xf>
    <xf numFmtId="0" fontId="3" fillId="4" borderId="24" xfId="0" applyNumberFormat="1" applyFont="1" applyFill="1" applyBorder="1" applyAlignment="1" applyProtection="1">
      <alignment horizontal="center" vertical="center"/>
      <protection hidden="1"/>
    </xf>
    <xf numFmtId="0" fontId="3" fillId="4" borderId="28" xfId="0" applyNumberFormat="1" applyFont="1" applyFill="1" applyBorder="1" applyAlignment="1" applyProtection="1">
      <alignment horizontal="center" vertical="center"/>
      <protection hidden="1"/>
    </xf>
    <xf numFmtId="188" fontId="3" fillId="4" borderId="9" xfId="0" applyNumberFormat="1" applyFont="1" applyFill="1" applyBorder="1" applyAlignment="1" applyProtection="1">
      <alignment horizontal="center" vertical="center"/>
      <protection hidden="1"/>
    </xf>
    <xf numFmtId="188" fontId="3" fillId="4" borderId="11" xfId="0" applyNumberFormat="1" applyFont="1" applyFill="1" applyBorder="1" applyAlignment="1" applyProtection="1">
      <alignment horizontal="center" vertical="center"/>
      <protection hidden="1"/>
    </xf>
    <xf numFmtId="188" fontId="3" fillId="4" borderId="24" xfId="0" applyNumberFormat="1" applyFont="1" applyFill="1" applyBorder="1" applyAlignment="1" applyProtection="1">
      <alignment horizontal="center" vertical="center"/>
      <protection hidden="1"/>
    </xf>
    <xf numFmtId="188" fontId="3" fillId="4" borderId="28" xfId="0" applyNumberFormat="1" applyFont="1" applyFill="1" applyBorder="1" applyAlignment="1" applyProtection="1">
      <alignment horizontal="center" vertical="center"/>
      <protection hidden="1"/>
    </xf>
    <xf numFmtId="0" fontId="7" fillId="3" borderId="0" xfId="0" applyFont="1" applyFill="1" applyBorder="1" applyAlignment="1" applyProtection="1">
      <alignment horizontal="right"/>
      <protection hidden="1"/>
    </xf>
    <xf numFmtId="0" fontId="0" fillId="4" borderId="33" xfId="0" applyFill="1" applyBorder="1" applyAlignment="1" applyProtection="1">
      <alignment horizontal="center"/>
      <protection hidden="1"/>
    </xf>
    <xf numFmtId="0" fontId="0" fillId="4" borderId="27" xfId="0" applyFill="1" applyBorder="1" applyAlignment="1" applyProtection="1">
      <alignment horizontal="center"/>
      <protection hidden="1"/>
    </xf>
    <xf numFmtId="164" fontId="5" fillId="4" borderId="33" xfId="0" applyNumberFormat="1" applyFont="1" applyFill="1" applyBorder="1" applyAlignment="1" applyProtection="1">
      <alignment horizontal="left" vertical="center"/>
      <protection hidden="1"/>
    </xf>
    <xf numFmtId="49" fontId="6" fillId="4" borderId="33" xfId="0" applyNumberFormat="1" applyFont="1" applyFill="1" applyBorder="1" applyAlignment="1" applyProtection="1">
      <alignment horizontal="center" vertical="center"/>
      <protection hidden="1"/>
    </xf>
    <xf numFmtId="49" fontId="6" fillId="4" borderId="27" xfId="0" applyNumberFormat="1" applyFont="1" applyFill="1" applyBorder="1" applyAlignment="1" applyProtection="1">
      <alignment horizontal="center" vertical="center"/>
      <protection hidden="1"/>
    </xf>
    <xf numFmtId="0" fontId="3" fillId="4" borderId="33" xfId="0" applyFont="1" applyFill="1" applyBorder="1" applyAlignment="1" applyProtection="1">
      <alignment horizontal="left"/>
      <protection hidden="1"/>
    </xf>
    <xf numFmtId="0" fontId="4" fillId="4" borderId="32" xfId="0" applyFont="1" applyFill="1" applyBorder="1" applyAlignment="1" applyProtection="1">
      <alignment horizontal="right"/>
      <protection hidden="1"/>
    </xf>
    <xf numFmtId="0" fontId="0" fillId="0" borderId="33" xfId="0" applyBorder="1" applyAlignment="1">
      <alignment/>
    </xf>
    <xf numFmtId="0" fontId="6" fillId="3" borderId="0" xfId="0" applyFont="1" applyFill="1" applyBorder="1" applyAlignment="1" applyProtection="1">
      <alignment horizontal="center"/>
      <protection hidden="1"/>
    </xf>
    <xf numFmtId="0" fontId="3" fillId="4" borderId="24" xfId="0" applyFont="1" applyFill="1" applyBorder="1" applyAlignment="1" applyProtection="1">
      <alignment horizontal="center" vertical="top"/>
      <protection hidden="1"/>
    </xf>
    <xf numFmtId="0" fontId="3" fillId="4" borderId="45" xfId="0" applyFont="1" applyFill="1" applyBorder="1" applyAlignment="1" applyProtection="1">
      <alignment horizontal="center" vertical="top"/>
      <protection hidden="1"/>
    </xf>
    <xf numFmtId="49" fontId="6" fillId="2" borderId="44" xfId="0" applyNumberFormat="1" applyFont="1" applyFill="1" applyBorder="1" applyAlignment="1" applyProtection="1">
      <alignment horizontal="left"/>
      <protection locked="0"/>
    </xf>
    <xf numFmtId="49" fontId="6" fillId="2" borderId="33" xfId="0" applyNumberFormat="1" applyFont="1" applyFill="1" applyBorder="1" applyAlignment="1" applyProtection="1">
      <alignment horizontal="left"/>
      <protection locked="0"/>
    </xf>
    <xf numFmtId="49" fontId="6" fillId="2" borderId="27" xfId="0" applyNumberFormat="1" applyFont="1" applyFill="1" applyBorder="1" applyAlignment="1" applyProtection="1">
      <alignment horizontal="left"/>
      <protection locked="0"/>
    </xf>
    <xf numFmtId="0" fontId="6" fillId="4" borderId="46" xfId="0" applyFont="1" applyFill="1" applyBorder="1" applyAlignment="1" applyProtection="1">
      <alignment horizontal="right"/>
      <protection hidden="1"/>
    </xf>
    <xf numFmtId="0" fontId="6" fillId="4" borderId="8" xfId="0" applyFont="1" applyFill="1" applyBorder="1" applyAlignment="1" applyProtection="1">
      <alignment horizontal="right"/>
      <protection hidden="1"/>
    </xf>
    <xf numFmtId="49" fontId="3" fillId="2" borderId="44" xfId="0" applyNumberFormat="1" applyFont="1" applyFill="1" applyBorder="1" applyAlignment="1" applyProtection="1">
      <alignment horizontal="left"/>
      <protection hidden="1"/>
    </xf>
    <xf numFmtId="49" fontId="3" fillId="2" borderId="33" xfId="0" applyNumberFormat="1" applyFont="1" applyFill="1" applyBorder="1" applyAlignment="1" applyProtection="1">
      <alignment horizontal="left"/>
      <protection hidden="1"/>
    </xf>
    <xf numFmtId="49" fontId="3" fillId="2" borderId="27" xfId="0" applyNumberFormat="1" applyFont="1" applyFill="1" applyBorder="1" applyAlignment="1" applyProtection="1">
      <alignment horizontal="left"/>
      <protection hidden="1"/>
    </xf>
    <xf numFmtId="197" fontId="3" fillId="4" borderId="32" xfId="0" applyNumberFormat="1" applyFont="1" applyFill="1" applyBorder="1" applyAlignment="1" applyProtection="1">
      <alignment horizontal="left"/>
      <protection hidden="1"/>
    </xf>
    <xf numFmtId="197" fontId="3" fillId="4" borderId="27" xfId="0" applyNumberFormat="1" applyFont="1" applyFill="1" applyBorder="1" applyAlignment="1" applyProtection="1">
      <alignment horizontal="left"/>
      <protection hidden="1"/>
    </xf>
    <xf numFmtId="0" fontId="3" fillId="2" borderId="32" xfId="0" applyFont="1" applyFill="1" applyBorder="1" applyAlignment="1" applyProtection="1">
      <alignment horizontal="left"/>
      <protection hidden="1"/>
    </xf>
    <xf numFmtId="0" fontId="3" fillId="2" borderId="33" xfId="0" applyFont="1" applyFill="1" applyBorder="1" applyAlignment="1" applyProtection="1">
      <alignment horizontal="left"/>
      <protection hidden="1"/>
    </xf>
    <xf numFmtId="0" fontId="3" fillId="2" borderId="27" xfId="0" applyFont="1" applyFill="1" applyBorder="1" applyAlignment="1" applyProtection="1">
      <alignment horizontal="left"/>
      <protection hidden="1"/>
    </xf>
    <xf numFmtId="0" fontId="3" fillId="4" borderId="27" xfId="0" applyFont="1" applyFill="1" applyBorder="1" applyAlignment="1" applyProtection="1">
      <alignment horizontal="left"/>
      <protection hidden="1"/>
    </xf>
    <xf numFmtId="197" fontId="3" fillId="2" borderId="5" xfId="0" applyNumberFormat="1" applyFont="1" applyFill="1" applyBorder="1" applyAlignment="1" applyProtection="1">
      <alignment horizontal="left" vertical="center"/>
      <protection locked="0"/>
    </xf>
    <xf numFmtId="197" fontId="3" fillId="2" borderId="6" xfId="0" applyNumberFormat="1" applyFont="1" applyFill="1" applyBorder="1" applyAlignment="1" applyProtection="1">
      <alignment horizontal="left" vertical="center"/>
      <protection locked="0"/>
    </xf>
    <xf numFmtId="0" fontId="4" fillId="4" borderId="33" xfId="0" applyFont="1" applyFill="1" applyBorder="1" applyAlignment="1" applyProtection="1">
      <alignment horizontal="right"/>
      <protection hidden="1"/>
    </xf>
    <xf numFmtId="0" fontId="5" fillId="3" borderId="0" xfId="0" applyFont="1" applyFill="1" applyBorder="1" applyAlignment="1" applyProtection="1">
      <alignment horizontal="center" vertical="center"/>
      <protection hidden="1"/>
    </xf>
    <xf numFmtId="0" fontId="5" fillId="3" borderId="10" xfId="0" applyFont="1" applyFill="1" applyBorder="1" applyAlignment="1" applyProtection="1">
      <alignment horizontal="center" vertical="center"/>
      <protection hidden="1"/>
    </xf>
    <xf numFmtId="0" fontId="4" fillId="4" borderId="5" xfId="0" applyFont="1" applyFill="1" applyBorder="1" applyAlignment="1" applyProtection="1">
      <alignment horizontal="right"/>
      <protection hidden="1"/>
    </xf>
    <xf numFmtId="0" fontId="4" fillId="4" borderId="6" xfId="0" applyFont="1" applyFill="1" applyBorder="1" applyAlignment="1" applyProtection="1">
      <alignment horizontal="right"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5">
    <dxf>
      <font>
        <b/>
        <i val="0"/>
      </font>
      <border/>
    </dxf>
    <dxf>
      <font>
        <strike/>
      </font>
      <border/>
    </dxf>
    <dxf>
      <font>
        <b/>
        <i val="0"/>
        <color rgb="FFC0C0C0"/>
      </font>
      <border/>
    </dxf>
    <dxf>
      <fill>
        <patternFill>
          <bgColor rgb="FFFFFF99"/>
        </patternFill>
      </fill>
      <border>
        <left>
          <color rgb="FF000000"/>
        </left>
        <right>
          <color rgb="FF000000"/>
        </right>
        <top style="thin">
          <color rgb="FF000000"/>
        </top>
        <bottom>
          <color rgb="FF000000"/>
        </bottom>
      </border>
    </dxf>
    <dxf>
      <fill>
        <patternFill>
          <bgColor rgb="FFFFFF99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116"/>
  <sheetViews>
    <sheetView tabSelected="1" workbookViewId="0" topLeftCell="A1">
      <selection activeCell="I17" sqref="I17:K18"/>
    </sheetView>
  </sheetViews>
  <sheetFormatPr defaultColWidth="9.140625" defaultRowHeight="12.75"/>
  <cols>
    <col min="1" max="2" width="1.57421875" style="11" customWidth="1"/>
    <col min="3" max="3" width="3.8515625" style="11" customWidth="1"/>
    <col min="4" max="4" width="19.00390625" style="11" customWidth="1"/>
    <col min="5" max="5" width="4.7109375" style="11" customWidth="1"/>
    <col min="6" max="6" width="7.00390625" style="11" customWidth="1"/>
    <col min="7" max="7" width="16.57421875" style="11" customWidth="1"/>
    <col min="8" max="8" width="4.28125" style="11" customWidth="1"/>
    <col min="9" max="9" width="4.421875" style="11" customWidth="1"/>
    <col min="10" max="10" width="4.57421875" style="11" customWidth="1"/>
    <col min="11" max="11" width="10.421875" style="11" customWidth="1"/>
    <col min="12" max="12" width="3.7109375" style="11" customWidth="1"/>
    <col min="13" max="13" width="9.8515625" style="11" customWidth="1"/>
    <col min="14" max="14" width="10.00390625" style="11" customWidth="1"/>
    <col min="15" max="15" width="5.00390625" style="11" customWidth="1"/>
    <col min="16" max="16" width="8.8515625" style="11" customWidth="1"/>
    <col min="17" max="17" width="10.00390625" style="11" customWidth="1"/>
    <col min="18" max="18" width="1.7109375" style="11" customWidth="1"/>
    <col min="19" max="19" width="9.140625" style="10" hidden="1" customWidth="1"/>
    <col min="20" max="20" width="9.140625" style="11" hidden="1" customWidth="1"/>
    <col min="21" max="21" width="13.00390625" style="11" hidden="1" customWidth="1"/>
    <col min="22" max="22" width="23.421875" style="11" hidden="1" customWidth="1"/>
    <col min="23" max="23" width="20.7109375" style="11" hidden="1" customWidth="1"/>
    <col min="24" max="24" width="18.140625" style="11" hidden="1" customWidth="1"/>
    <col min="25" max="25" width="23.57421875" style="11" hidden="1" customWidth="1"/>
    <col min="26" max="30" width="9.140625" style="11" hidden="1" customWidth="1"/>
    <col min="31" max="16384" width="9.140625" style="11" customWidth="1"/>
  </cols>
  <sheetData>
    <row r="1" spans="1:31" ht="7.5" customHeight="1">
      <c r="A1" s="142"/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3"/>
      <c r="AE1" s="142"/>
    </row>
    <row r="2" spans="1:31" ht="29.25" customHeight="1">
      <c r="A2" s="142"/>
      <c r="B2" s="7"/>
      <c r="C2" s="160" t="s">
        <v>139</v>
      </c>
      <c r="D2" s="160"/>
      <c r="E2" s="160"/>
      <c r="F2" s="160"/>
      <c r="G2" s="160"/>
      <c r="H2" s="160"/>
      <c r="I2" s="160"/>
      <c r="J2" s="160"/>
      <c r="K2" s="160"/>
      <c r="L2" s="8"/>
      <c r="M2" s="8"/>
      <c r="N2" s="8"/>
      <c r="O2" s="8"/>
      <c r="P2" s="8"/>
      <c r="Q2" s="8"/>
      <c r="R2" s="9"/>
      <c r="AE2" s="142"/>
    </row>
    <row r="3" spans="1:31" ht="6" customHeight="1" thickBot="1">
      <c r="A3" s="142"/>
      <c r="B3" s="12"/>
      <c r="C3" s="13"/>
      <c r="D3" s="14"/>
      <c r="E3" s="14"/>
      <c r="F3" s="14"/>
      <c r="G3" s="14"/>
      <c r="H3" s="14"/>
      <c r="I3" s="14"/>
      <c r="J3" s="14"/>
      <c r="K3" s="14"/>
      <c r="L3" s="15"/>
      <c r="M3" s="15"/>
      <c r="N3" s="15"/>
      <c r="O3" s="15"/>
      <c r="P3" s="15"/>
      <c r="Q3" s="15"/>
      <c r="R3" s="16"/>
      <c r="AE3" s="142"/>
    </row>
    <row r="4" spans="1:31" ht="29.25" customHeight="1">
      <c r="A4" s="142"/>
      <c r="B4" s="12"/>
      <c r="C4" s="17"/>
      <c r="D4" s="191" t="s">
        <v>21</v>
      </c>
      <c r="E4" s="191"/>
      <c r="F4" s="191"/>
      <c r="G4" s="192" t="s">
        <v>140</v>
      </c>
      <c r="H4" s="193"/>
      <c r="I4" s="169">
        <f>VLOOKUP(COUNTA(D5:D16),V4:Y16,1+IF(D4="kai",1,IF(D4="magnakai",2,IF(D4="Grandmaster",3,0))),FALSE)</f>
        <v>0</v>
      </c>
      <c r="J4" s="170"/>
      <c r="K4" s="171"/>
      <c r="L4" s="15"/>
      <c r="M4" s="177" t="s">
        <v>94</v>
      </c>
      <c r="N4" s="178"/>
      <c r="O4" s="18"/>
      <c r="P4" s="177" t="s">
        <v>93</v>
      </c>
      <c r="Q4" s="178"/>
      <c r="R4" s="16"/>
      <c r="U4" s="19"/>
      <c r="V4" s="20">
        <v>0</v>
      </c>
      <c r="W4" s="21"/>
      <c r="X4" s="21" t="s">
        <v>33</v>
      </c>
      <c r="Y4" s="22" t="s">
        <v>43</v>
      </c>
      <c r="AE4" s="142"/>
    </row>
    <row r="5" spans="1:31" ht="18" customHeight="1">
      <c r="A5" s="142"/>
      <c r="B5" s="12"/>
      <c r="C5" s="28">
        <v>1</v>
      </c>
      <c r="D5" s="164"/>
      <c r="E5" s="165"/>
      <c r="F5" s="166"/>
      <c r="G5" s="167"/>
      <c r="H5" s="167"/>
      <c r="I5" s="167"/>
      <c r="J5" s="167"/>
      <c r="K5" s="168"/>
      <c r="L5" s="15"/>
      <c r="M5" s="179">
        <f>M9-N9+SUMIF(K39:K59,"a",I39:I59)+IF(D4="Kai",U19,IF(D4="Magnakai",U21,U22))+IF(O12="a",U23,0)+U24+IF(O13="a",IF(OR(D4="grandmaster",AND(D4="magnakai",COUNTA(D5:D16)&gt;8)),6,4),0)+IF(O14="a",8,0)+IF(D4="grandmaster",5+MAX(0,COUNTA(D5:D16)-4),U26)+N10</f>
        <v>6</v>
      </c>
      <c r="N5" s="180"/>
      <c r="O5" s="18"/>
      <c r="P5" s="184">
        <f>P9-Q9+SUMIF(K39:K59,"a",J39:J59)+IF(D4="grandmaster",11+MAX(0,(COUNTA(D5:D16)-4)*2),U27)+Q10</f>
        <v>20</v>
      </c>
      <c r="Q5" s="185"/>
      <c r="R5" s="23"/>
      <c r="U5" s="24" t="s">
        <v>21</v>
      </c>
      <c r="V5" s="25">
        <v>1</v>
      </c>
      <c r="W5" s="26" t="s">
        <v>25</v>
      </c>
      <c r="X5" s="26" t="s">
        <v>34</v>
      </c>
      <c r="Y5" s="27" t="s">
        <v>44</v>
      </c>
      <c r="AE5" s="142"/>
    </row>
    <row r="6" spans="1:31" ht="15.75" customHeight="1">
      <c r="A6" s="142"/>
      <c r="B6" s="12"/>
      <c r="C6" s="28">
        <v>2</v>
      </c>
      <c r="D6" s="164"/>
      <c r="E6" s="165"/>
      <c r="F6" s="166"/>
      <c r="G6" s="167"/>
      <c r="H6" s="167"/>
      <c r="I6" s="167"/>
      <c r="J6" s="167"/>
      <c r="K6" s="168"/>
      <c r="L6" s="15"/>
      <c r="M6" s="181"/>
      <c r="N6" s="180"/>
      <c r="O6" s="18"/>
      <c r="P6" s="184"/>
      <c r="Q6" s="185"/>
      <c r="R6" s="23"/>
      <c r="U6" s="24" t="s">
        <v>22</v>
      </c>
      <c r="V6" s="25">
        <v>2</v>
      </c>
      <c r="W6" s="26" t="s">
        <v>26</v>
      </c>
      <c r="X6" s="26" t="s">
        <v>35</v>
      </c>
      <c r="Y6" s="27" t="s">
        <v>45</v>
      </c>
      <c r="AE6" s="142"/>
    </row>
    <row r="7" spans="1:31" ht="15.75" customHeight="1">
      <c r="A7" s="142"/>
      <c r="B7" s="12"/>
      <c r="C7" s="28">
        <v>3</v>
      </c>
      <c r="D7" s="164"/>
      <c r="E7" s="165"/>
      <c r="F7" s="166"/>
      <c r="G7" s="167"/>
      <c r="H7" s="167"/>
      <c r="I7" s="167"/>
      <c r="J7" s="167"/>
      <c r="K7" s="168"/>
      <c r="L7" s="15"/>
      <c r="M7" s="182"/>
      <c r="N7" s="183"/>
      <c r="O7" s="18"/>
      <c r="P7" s="186"/>
      <c r="Q7" s="187"/>
      <c r="R7" s="23"/>
      <c r="U7" s="24" t="s">
        <v>23</v>
      </c>
      <c r="V7" s="25">
        <v>3</v>
      </c>
      <c r="W7" s="26" t="s">
        <v>27</v>
      </c>
      <c r="X7" s="26" t="s">
        <v>36</v>
      </c>
      <c r="Y7" s="27" t="s">
        <v>46</v>
      </c>
      <c r="AE7" s="142"/>
    </row>
    <row r="8" spans="1:31" ht="16.5" thickBot="1">
      <c r="A8" s="142"/>
      <c r="B8" s="12"/>
      <c r="C8" s="28">
        <v>4</v>
      </c>
      <c r="D8" s="164"/>
      <c r="E8" s="165"/>
      <c r="F8" s="166"/>
      <c r="G8" s="167"/>
      <c r="H8" s="167"/>
      <c r="I8" s="167"/>
      <c r="J8" s="167"/>
      <c r="K8" s="168"/>
      <c r="L8" s="15"/>
      <c r="M8" s="29" t="s">
        <v>95</v>
      </c>
      <c r="N8" s="29" t="s">
        <v>92</v>
      </c>
      <c r="O8" s="30"/>
      <c r="P8" s="31" t="s">
        <v>95</v>
      </c>
      <c r="Q8" s="31" t="s">
        <v>92</v>
      </c>
      <c r="R8" s="23"/>
      <c r="U8" s="32" t="s">
        <v>24</v>
      </c>
      <c r="V8" s="25">
        <v>4</v>
      </c>
      <c r="W8" s="26" t="s">
        <v>28</v>
      </c>
      <c r="X8" s="26" t="s">
        <v>37</v>
      </c>
      <c r="Y8" s="27" t="s">
        <v>47</v>
      </c>
      <c r="AE8" s="142"/>
    </row>
    <row r="9" spans="1:31" ht="17.25" thickBot="1" thickTop="1">
      <c r="A9" s="142"/>
      <c r="B9" s="12"/>
      <c r="C9" s="28">
        <v>5</v>
      </c>
      <c r="D9" s="164"/>
      <c r="E9" s="165"/>
      <c r="F9" s="166"/>
      <c r="G9" s="167"/>
      <c r="H9" s="167"/>
      <c r="I9" s="167"/>
      <c r="J9" s="167"/>
      <c r="K9" s="168"/>
      <c r="L9" s="15"/>
      <c r="M9" s="111">
        <v>10</v>
      </c>
      <c r="N9" s="112">
        <v>0</v>
      </c>
      <c r="O9" s="33"/>
      <c r="P9" s="111">
        <v>20</v>
      </c>
      <c r="Q9" s="112">
        <v>0</v>
      </c>
      <c r="R9" s="16"/>
      <c r="U9" s="34"/>
      <c r="V9" s="25">
        <v>5</v>
      </c>
      <c r="W9" s="26" t="s">
        <v>29</v>
      </c>
      <c r="X9" s="26" t="s">
        <v>38</v>
      </c>
      <c r="Y9" s="27" t="s">
        <v>48</v>
      </c>
      <c r="AE9" s="142"/>
    </row>
    <row r="10" spans="1:31" ht="18" thickBot="1" thickTop="1">
      <c r="A10" s="142"/>
      <c r="B10" s="12"/>
      <c r="C10" s="28">
        <v>6</v>
      </c>
      <c r="D10" s="164"/>
      <c r="E10" s="165"/>
      <c r="F10" s="166"/>
      <c r="G10" s="167"/>
      <c r="H10" s="167"/>
      <c r="I10" s="167"/>
      <c r="J10" s="167"/>
      <c r="K10" s="168"/>
      <c r="L10" s="15"/>
      <c r="M10" s="35" t="s">
        <v>120</v>
      </c>
      <c r="N10" s="1">
        <v>0</v>
      </c>
      <c r="O10" s="18"/>
      <c r="P10" s="35" t="s">
        <v>120</v>
      </c>
      <c r="Q10" s="1">
        <v>0</v>
      </c>
      <c r="R10" s="16"/>
      <c r="U10" s="36" t="s">
        <v>90</v>
      </c>
      <c r="V10" s="25">
        <v>6</v>
      </c>
      <c r="W10" s="26" t="s">
        <v>30</v>
      </c>
      <c r="X10" s="26" t="s">
        <v>39</v>
      </c>
      <c r="Y10" s="27" t="s">
        <v>49</v>
      </c>
      <c r="AE10" s="142"/>
    </row>
    <row r="11" spans="1:31" ht="17.25" thickTop="1">
      <c r="A11" s="142"/>
      <c r="B11" s="12"/>
      <c r="C11" s="28">
        <v>7</v>
      </c>
      <c r="D11" s="164"/>
      <c r="E11" s="165"/>
      <c r="F11" s="166"/>
      <c r="G11" s="167"/>
      <c r="H11" s="167"/>
      <c r="I11" s="167"/>
      <c r="J11" s="167"/>
      <c r="K11" s="168"/>
      <c r="L11" s="37"/>
      <c r="M11" s="37"/>
      <c r="N11" s="37"/>
      <c r="O11" s="37"/>
      <c r="P11" s="37"/>
      <c r="Q11" s="37"/>
      <c r="R11" s="16"/>
      <c r="U11" s="38" t="s">
        <v>96</v>
      </c>
      <c r="V11" s="25">
        <v>7</v>
      </c>
      <c r="W11" s="26" t="s">
        <v>31</v>
      </c>
      <c r="X11" s="26" t="s">
        <v>40</v>
      </c>
      <c r="Y11" s="27" t="s">
        <v>50</v>
      </c>
      <c r="AE11" s="142"/>
    </row>
    <row r="12" spans="1:31" ht="16.5" thickBot="1">
      <c r="A12" s="142"/>
      <c r="B12" s="12"/>
      <c r="C12" s="28">
        <v>8</v>
      </c>
      <c r="D12" s="164"/>
      <c r="E12" s="165"/>
      <c r="F12" s="166"/>
      <c r="G12" s="167"/>
      <c r="H12" s="167"/>
      <c r="I12" s="167"/>
      <c r="J12" s="167"/>
      <c r="K12" s="168"/>
      <c r="L12" s="3"/>
      <c r="M12" s="188" t="str">
        <f>"Mindblast "&amp;IF(OR(AND(D4="Kai",ISNA(VLOOKUP("Mindblast",D5:K14,1,FALSE))=TRUE),O13="a",O14="a"),"un","")&amp;"available "</f>
        <v>Mindblast unavailable </v>
      </c>
      <c r="N12" s="188"/>
      <c r="O12" s="119"/>
      <c r="P12" s="37"/>
      <c r="Q12" s="113" t="s">
        <v>138</v>
      </c>
      <c r="R12" s="16"/>
      <c r="U12" s="39" t="s">
        <v>91</v>
      </c>
      <c r="V12" s="25">
        <v>8</v>
      </c>
      <c r="W12" s="26" t="s">
        <v>56</v>
      </c>
      <c r="X12" s="26" t="s">
        <v>41</v>
      </c>
      <c r="Y12" s="27" t="s">
        <v>51</v>
      </c>
      <c r="AE12" s="142"/>
    </row>
    <row r="13" spans="1:31" ht="15.75">
      <c r="A13" s="142"/>
      <c r="B13" s="12"/>
      <c r="C13" s="28">
        <v>9</v>
      </c>
      <c r="D13" s="164"/>
      <c r="E13" s="165"/>
      <c r="F13" s="166"/>
      <c r="G13" s="167"/>
      <c r="H13" s="167"/>
      <c r="I13" s="167"/>
      <c r="J13" s="167"/>
      <c r="K13" s="168"/>
      <c r="L13" s="3"/>
      <c r="M13" s="188" t="str">
        <f>"Psi-surge "&amp;IF(OR(P5&lt;5,O12="a",O14="a"),"un",IF(AND(D4="magnakai",P5&lt;7,COUNTA(D5:D16)&lt;9),"un",IF(D4="Grandmaster","",IF(ISNA(VLOOKUP("Psi-surge",D5:K16,1,FALSE))=FALSE,"","un"))))&amp;"available "</f>
        <v>Psi-surge unavailable </v>
      </c>
      <c r="N13" s="188"/>
      <c r="O13" s="119"/>
      <c r="P13" s="37"/>
      <c r="Q13" s="6">
        <f ca="1">ROUNDUP(10*RAND(),0)-1</f>
        <v>3</v>
      </c>
      <c r="R13" s="16"/>
      <c r="V13" s="25">
        <v>9</v>
      </c>
      <c r="W13" s="26" t="s">
        <v>32</v>
      </c>
      <c r="X13" s="26" t="s">
        <v>42</v>
      </c>
      <c r="Y13" s="27" t="s">
        <v>52</v>
      </c>
      <c r="AE13" s="142"/>
    </row>
    <row r="14" spans="1:31" ht="15.75">
      <c r="A14" s="142"/>
      <c r="B14" s="12"/>
      <c r="C14" s="28">
        <v>10</v>
      </c>
      <c r="D14" s="164"/>
      <c r="E14" s="165"/>
      <c r="F14" s="166"/>
      <c r="G14" s="167"/>
      <c r="H14" s="167"/>
      <c r="I14" s="167"/>
      <c r="J14" s="167"/>
      <c r="K14" s="168"/>
      <c r="L14" s="3"/>
      <c r="M14" s="188" t="str">
        <f>"Kai-surge "&amp;IF(OR(ISNA(VLOOKUP("Kai-surge",D5:D16,1,FALSE))=TRUE,P5&lt;7,O12="a",O13="a"),"un","")&amp;"available "</f>
        <v>Kai-surge unavailable </v>
      </c>
      <c r="N14" s="188"/>
      <c r="O14" s="119"/>
      <c r="P14" s="37"/>
      <c r="Q14" s="37"/>
      <c r="R14" s="16"/>
      <c r="U14" s="11" t="s">
        <v>138</v>
      </c>
      <c r="V14" s="25">
        <v>10</v>
      </c>
      <c r="W14" s="26" t="s">
        <v>33</v>
      </c>
      <c r="X14" s="26" t="s">
        <v>43</v>
      </c>
      <c r="Y14" s="27" t="s">
        <v>53</v>
      </c>
      <c r="AE14" s="142"/>
    </row>
    <row r="15" spans="1:31" ht="15.75">
      <c r="A15" s="142"/>
      <c r="B15" s="12"/>
      <c r="C15" s="118">
        <f>IF(D4="Grandmaster","11","")</f>
      </c>
      <c r="D15" s="164"/>
      <c r="E15" s="165"/>
      <c r="F15" s="205"/>
      <c r="G15" s="206"/>
      <c r="H15" s="206"/>
      <c r="I15" s="206"/>
      <c r="J15" s="206"/>
      <c r="K15" s="207"/>
      <c r="L15" s="3"/>
      <c r="M15" s="188" t="str">
        <f>"Kai-blast "&amp;IF(AND(D4="grandmaster",COUNTA(D5:D16)&gt;6,ISNA(VLOOKUP("Kai-surge",D5:D16,1,FALSE))=FALSE),IF(OR(O12="a",O13="a",O14="a"),"un",""),"un")&amp;"available "</f>
        <v>Kai-blast unavailable </v>
      </c>
      <c r="N15" s="188"/>
      <c r="O15" s="40"/>
      <c r="P15" s="41" t="s">
        <v>130</v>
      </c>
      <c r="Q15" s="120" t="s">
        <v>147</v>
      </c>
      <c r="R15" s="16"/>
      <c r="V15" s="25">
        <v>11</v>
      </c>
      <c r="W15" s="26"/>
      <c r="X15" s="26"/>
      <c r="Y15" s="27" t="s">
        <v>54</v>
      </c>
      <c r="AE15" s="142"/>
    </row>
    <row r="16" spans="1:31" ht="16.5" thickBot="1">
      <c r="A16" s="142"/>
      <c r="B16" s="12"/>
      <c r="C16" s="118">
        <f>IF(D4="Grandmaster","12","")</f>
      </c>
      <c r="D16" s="164"/>
      <c r="E16" s="165"/>
      <c r="F16" s="205"/>
      <c r="G16" s="206"/>
      <c r="H16" s="206"/>
      <c r="I16" s="206"/>
      <c r="J16" s="206"/>
      <c r="K16" s="207"/>
      <c r="L16" s="188" t="str">
        <f>"Kai-ray "&amp;IF(O16="a","used this combat ",IF(AND(D4="grandmaster",COUNTA(D5:D16)&gt;10,P5&gt;10,ISNA(VLOOKUP("Kai-surge",D5:D16,1,FALSE))=FALSE),IF(OR(O12="a",O13="a",O14="a"),"un",""),"un")&amp;"available ")</f>
        <v>Kai-ray unavailable </v>
      </c>
      <c r="M16" s="188"/>
      <c r="N16" s="188"/>
      <c r="O16" s="119"/>
      <c r="P16" s="43" t="s">
        <v>136</v>
      </c>
      <c r="Q16" s="4" t="str">
        <f>VLOOKUP(VLOOKUP(Q15,W43:Y52,3,FALSE),T60:AD83,Q13+2,FALSE)</f>
        <v>n/a</v>
      </c>
      <c r="R16" s="16"/>
      <c r="V16" s="44">
        <v>12</v>
      </c>
      <c r="W16" s="45" t="s">
        <v>57</v>
      </c>
      <c r="X16" s="46"/>
      <c r="Y16" s="47" t="s">
        <v>55</v>
      </c>
      <c r="AE16" s="142"/>
    </row>
    <row r="17" spans="1:31" ht="17.25" customHeight="1" thickBot="1">
      <c r="A17" s="142"/>
      <c r="B17" s="12"/>
      <c r="C17" s="37"/>
      <c r="D17" s="217" t="str">
        <f>IF(D4="Grandmaster","Grand ","")&amp;"Weapon"&amp;IF(D4="Kai","skill weapon","mastery checklist")</f>
        <v>Weaponskill weapon</v>
      </c>
      <c r="E17" s="217"/>
      <c r="F17" s="217"/>
      <c r="G17" s="217"/>
      <c r="H17" s="15"/>
      <c r="I17" s="197">
        <f>IF(D4="kai","","LORE-CIRCLES:")</f>
      </c>
      <c r="J17" s="197"/>
      <c r="K17" s="197"/>
      <c r="L17" s="188" t="str">
        <f>IF(ISNA(VLOOKUP("Deliverance",D5:D16,1,FALSE))=FALSE,"Deliverance ","Curing 20EP ")&amp;IF(O17="a","used ",IF(OR(D4="grandmaster",AND(COUNTA(D5:D16)&gt;8,ISNA(VLOOKUP("Curing",D5:D16,1,FALSE))=FALSE)),"","un")&amp;"available ")</f>
        <v>Curing 20EP unavailable </v>
      </c>
      <c r="M17" s="188"/>
      <c r="N17" s="188"/>
      <c r="O17" s="119"/>
      <c r="P17" s="2" t="s">
        <v>137</v>
      </c>
      <c r="Q17" s="5" t="str">
        <f>VLOOKUP(VLOOKUP(Q15,W43:Y52,3,FALSE),T83:AD107,Q13+2,FALSE)</f>
        <v>n/a</v>
      </c>
      <c r="R17" s="16"/>
      <c r="V17" s="26"/>
      <c r="W17" s="48"/>
      <c r="X17" s="26"/>
      <c r="Y17" s="27"/>
      <c r="AE17" s="142"/>
    </row>
    <row r="18" spans="1:31" ht="7.5" customHeight="1">
      <c r="A18" s="142"/>
      <c r="B18" s="12"/>
      <c r="C18" s="49"/>
      <c r="D18" s="217"/>
      <c r="E18" s="217"/>
      <c r="F18" s="217"/>
      <c r="G18" s="217"/>
      <c r="H18" s="49"/>
      <c r="I18" s="197"/>
      <c r="J18" s="197"/>
      <c r="K18" s="197"/>
      <c r="L18" s="15"/>
      <c r="M18" s="37"/>
      <c r="N18" s="37"/>
      <c r="O18" s="50"/>
      <c r="P18" s="15"/>
      <c r="Q18" s="15"/>
      <c r="R18" s="16"/>
      <c r="V18" s="26"/>
      <c r="W18" s="34"/>
      <c r="X18" s="19"/>
      <c r="Y18" s="34"/>
      <c r="AE18" s="142"/>
    </row>
    <row r="19" spans="1:31" ht="16.5" customHeight="1" thickBot="1">
      <c r="A19" s="142"/>
      <c r="B19" s="12"/>
      <c r="C19" s="51"/>
      <c r="D19" s="218"/>
      <c r="E19" s="218"/>
      <c r="F19" s="218"/>
      <c r="G19" s="218"/>
      <c r="H19" s="52"/>
      <c r="I19" s="52"/>
      <c r="J19" s="2">
        <f>IF(D4="kai","","Fire")</f>
      </c>
      <c r="K19" s="53">
        <f>IF(D4="Grandmaster","a",IF(AND(D4="magnakai",ISNA(VLOOKUP("huntmastery",D5:D16,1,FALSE))=FALSE,ISNA(VLOOKUP("weaponmastery",D5:D16,1,FALSE))=FALSE),"a",""))</f>
      </c>
      <c r="L19" s="15"/>
      <c r="M19" s="148" t="s">
        <v>115</v>
      </c>
      <c r="N19" s="149"/>
      <c r="O19" s="55" t="s">
        <v>114</v>
      </c>
      <c r="P19" s="148" t="s">
        <v>121</v>
      </c>
      <c r="Q19" s="149"/>
      <c r="R19" s="16"/>
      <c r="T19" s="11">
        <f>IF(OR(IF(K39="a",IF(ISNA(VLOOKUP(D39,C20:E24,3,FALSE))=TRUE,0,IF(VLOOKUP(D39,C20:E24,3,FALSE)="a",2,0))+IF(ISNA(VLOOKUP(D39,F20:H23,2,FALSE))=TRUE,0,IF(VLOOKUP(D39,F20:H23,2,FALSE)="a",2,0)),0),IF(K40="a",IF(ISNA(VLOOKUP(D40,C20:E24,3,FALSE))=TRUE,0,IF(VLOOKUP(D40,C20:E24,3,FALSE)="a",2,0))+IF(ISNA(VLOOKUP(D40,F20:H23,2,FALSE)),0,IF(VLOOKUP(D40,F20:H23,2,FALSE)="a",2,0)))),2,0)</f>
        <v>0</v>
      </c>
      <c r="U19" s="26">
        <f>IF(OR(AND(K39="a",U43=V31),AND(K40="a",U44=V31),AND(K43="a",U45=V31),AND(K44="a",U46=V31),AND(K45="a",U47=V31),AND(K46="a",U48=V31),AND(K47="a",U49=V31),AND(K48="a",U50=V31),AND(K49="a",U51=V31),AND(K50="a",U52=V31),AND(K51="a",U53=V31),AND(K52="a",U54=V31),AND(K53="a",U55=V31),AND(K54="a",U56=V31)),2,0)</f>
        <v>0</v>
      </c>
      <c r="V19" s="26" t="s">
        <v>102</v>
      </c>
      <c r="W19" s="56" t="s">
        <v>68</v>
      </c>
      <c r="X19" s="25" t="s">
        <v>69</v>
      </c>
      <c r="Y19" s="56" t="s">
        <v>80</v>
      </c>
      <c r="AE19" s="142"/>
    </row>
    <row r="20" spans="1:31" ht="18" thickBot="1" thickTop="1">
      <c r="A20" s="142"/>
      <c r="B20" s="12"/>
      <c r="C20" s="115" t="s">
        <v>18</v>
      </c>
      <c r="D20" s="57"/>
      <c r="E20" s="141"/>
      <c r="F20" s="208" t="s">
        <v>11</v>
      </c>
      <c r="G20" s="209"/>
      <c r="H20" s="140"/>
      <c r="I20" s="52"/>
      <c r="J20" s="2">
        <f>IF(D4="kai","","Light")</f>
      </c>
      <c r="K20" s="53">
        <f>IF(D4="Grandmaster","a",IF(AND(D4="magnakai",ISNA(VLOOKUP("curing",D5:D16,1,FALSE))=FALSE,ISNA(VLOOKUP("animal control",D5:D16,1,FALSE))=FALSE),"a",""))</f>
      </c>
      <c r="L20" s="15"/>
      <c r="M20" s="58">
        <f>$M$5</f>
        <v>6</v>
      </c>
      <c r="N20" s="59">
        <f>$P$5</f>
        <v>20</v>
      </c>
      <c r="O20" s="60">
        <f>M20-P20</f>
        <v>6</v>
      </c>
      <c r="P20" s="105">
        <v>0</v>
      </c>
      <c r="Q20" s="106">
        <v>0</v>
      </c>
      <c r="R20" s="16"/>
      <c r="T20" s="11">
        <f>IF(OR(IF(K39="a",IF(ISNA(VLOOKUP(D39,C20:E24,3,FALSE))=TRUE,0,IF(VLOOKUP(D39,C20:E24,3,FALSE)="r",2,0))+IF(ISNA(VLOOKUP(D39,F20:H23,2,FALSE))=TRUE,0,IF(VLOOKUP(D39,F20:H23,2,FALSE)="r",2,0)),0),IF(K40="a",IF(ISNA(VLOOKUP(D40,C20:E24,3,FALSE))=TRUE,0,IF(VLOOKUP(D40,C20:E24,3,FALSE)="r",2,0))+IF(ISNA(VLOOKUP(D40,F20:H23,2,FALSE)),0,IF(VLOOKUP(D40,F20:H23,2,FALSE)="r",2,0)))),2,0)</f>
        <v>0</v>
      </c>
      <c r="U20" s="61"/>
      <c r="V20" s="62" t="s">
        <v>97</v>
      </c>
      <c r="W20" s="56" t="s">
        <v>59</v>
      </c>
      <c r="X20" s="25" t="s">
        <v>75</v>
      </c>
      <c r="Y20" s="56" t="s">
        <v>83</v>
      </c>
      <c r="AE20" s="142"/>
    </row>
    <row r="21" spans="1:31" ht="18" thickBot="1" thickTop="1">
      <c r="A21" s="142"/>
      <c r="B21" s="12"/>
      <c r="C21" s="115" t="s">
        <v>15</v>
      </c>
      <c r="D21" s="57"/>
      <c r="E21" s="140"/>
      <c r="F21" s="208" t="s">
        <v>12</v>
      </c>
      <c r="G21" s="209"/>
      <c r="H21" s="140"/>
      <c r="I21" s="52"/>
      <c r="J21" s="2">
        <f>IF(D4="kai","","Solaris")</f>
      </c>
      <c r="K21" s="63">
        <f>IF(D4="Grandmaster","a",IF(AND(D4="magnakai",ISNA(VLOOKUP("huntmastery",D5:D16,1,FALSE))=FALSE,ISNA(VLOOKUP("pathsmanship",D5:D16,1,FALSE))=FALSE,ISNA(VLOOKUP("invisibility",D5:D16,1,FALSE))=FALSE),"a",""))</f>
      </c>
      <c r="L21" s="15"/>
      <c r="M21" s="148" t="s">
        <v>115</v>
      </c>
      <c r="N21" s="149"/>
      <c r="O21" s="55" t="s">
        <v>114</v>
      </c>
      <c r="P21" s="152" t="s">
        <v>122</v>
      </c>
      <c r="Q21" s="153"/>
      <c r="R21" s="16"/>
      <c r="T21" s="11">
        <f>IF(OR(IF(K39="a",IF(ISNA(VLOOKUP(D39,C20:E24,3,FALSE))=TRUE,0,IF(VLOOKUP(D39,C20:E24,3,FALSE)="a",U25,0))+IF(ISNA(VLOOKUP(D39,F20:H23,2,FALSE))=TRUE,0,IF(VLOOKUP(D39,F20:H23,2,FALSE)="a",U25,0)),0),IF(K40="a",IF(ISNA(VLOOKUP(D40,C20:E24,3,FALSE))=TRUE,0,IF(VLOOKUP(D40,C20:E24,3,FALSE)="a",U25,0))+IF(ISNA(VLOOKUP(D40,F20:H23,2,FALSE)),0,IF(VLOOKUP(D40,F20:H23,2,FALSE)="a",U25,0)))),U25,IF(OR(IF(K39="a",IF(ISNA(VLOOKUP(D39,C20:E24,3,FALSE))=TRUE,0,IF(VLOOKUP(D39,C20:E24,3,FALSE)="r",2,0))+IF(ISNA(VLOOKUP(D39,F20:H23,2,FALSE))=TRUE,0,IF(VLOOKUP(D39,F20:H23,2,FALSE)="r",2,0)),0),IF(K40="a",IF(ISNA(VLOOKUP(D40,C20:E24,3,FALSE))=TRUE,0,IF(VLOOKUP(D40,C20:E24,3,FALSE)="r",2,0))+IF(ISNA(VLOOKUP(D40,F20:H23,2,FALSE)),0,IF(VLOOKUP(D40,F20:H23,2,FALSE)="r",2,0)))),2,0))</f>
        <v>0</v>
      </c>
      <c r="U21" s="61">
        <f>IF(OR(D4="grandmaster",ISNA(VLOOKUP("Weaponmastery",D5:D16,1,FALSE))=FALSE),MAX(IF(OR(AND(K39="a",ISNA(VLOOKUP(U43,V32:V40,1,FALSE))=FALSE),AND(K40="a",ISNA(VLOOKUP(U44,V32:V40,1,FALSE))=FALSE),AND(K43="a",ISNA(VLOOKUP(U45,V32:V40,1,FALSE))=FALSE),AND(K44="a",ISNA(VLOOKUP(U46,V32:V40,1,FALSE))=FALSE),AND(K45="a",ISNA(VLOOKUP(U47,V32:V40,1,FALSE))=FALSE),AND(K46="a",ISNA(VLOOKUP(U48,V32:V40,1,FALSE))=FALSE),AND(K47="a",ISNA(VLOOKUP(U49,V32:V40,1,FALSE))=FALSE),AND(K48="a",ISNA(VLOOKUP(U50,V32:V40,1,FALSE))=FALSE),AND(K49="a",ISNA(VLOOKUP(U51,V32:V40,1,FALSE))=FALSE),AND(K50="a",ISNA(VLOOKUP(U52,V32:V40,1,FALSE))=FALSE),AND(K51="a",ISNA(VLOOKUP(U53,V32:V40,1,FALSE))=FALSE),AND(K52="a",ISNA(VLOOKUP(U54,V32:V40,1,FALSE))=FALSE),AND(K53="a",ISNA(VLOOKUP(U55,V32:V40,1,FALSE))=FALSE),AND(K54="a",ISNA(VLOOKUP(U56,V32:V40,1,FALSE))=FALSE)),U25,0),U19),U19)</f>
        <v>0</v>
      </c>
      <c r="V21" s="11" t="s">
        <v>105</v>
      </c>
      <c r="W21" s="56" t="s">
        <v>64</v>
      </c>
      <c r="X21" s="25" t="s">
        <v>60</v>
      </c>
      <c r="Y21" s="56" t="s">
        <v>79</v>
      </c>
      <c r="AE21" s="142"/>
    </row>
    <row r="22" spans="1:31" ht="18" thickBot="1" thickTop="1">
      <c r="A22" s="142"/>
      <c r="B22" s="12"/>
      <c r="C22" s="115" t="s">
        <v>10</v>
      </c>
      <c r="D22" s="57"/>
      <c r="E22" s="140"/>
      <c r="F22" s="208" t="s">
        <v>14</v>
      </c>
      <c r="G22" s="209"/>
      <c r="H22" s="140"/>
      <c r="I22" s="52"/>
      <c r="J22" s="2">
        <f>IF(D4="kai","","Spirit")</f>
      </c>
      <c r="K22" s="63">
        <f>IF(D4="Grandmaster","a",IF(AND(D4="magnakai",ISNA(VLOOKUP("divination",D5:D16,1,FALSE))=FALSE,ISNA(VLOOKUP("psi-surge",D5:D16,1,FALSE))=FALSE,ISNA(VLOOKUP("psi-screen",D5:D16,1,FALSE))=FALSE,ISNA(VLOOKUP("nexus",D5:D16,1,FALSE))=FALSE),"a",""))</f>
      </c>
      <c r="L22" s="15"/>
      <c r="M22" s="58">
        <f>$M$5</f>
        <v>6</v>
      </c>
      <c r="N22" s="59">
        <f>$P$5</f>
        <v>20</v>
      </c>
      <c r="O22" s="64">
        <f>M22-P22</f>
        <v>6</v>
      </c>
      <c r="P22" s="105">
        <v>0</v>
      </c>
      <c r="Q22" s="106">
        <v>0</v>
      </c>
      <c r="R22" s="16"/>
      <c r="T22" s="11">
        <f>IF(OR(IF(K39="a",IF(ISNA(VLOOKUP(D39,C20:E24,3,FALSE))=TRUE,0,IF(VLOOKUP(D39,C20:E24,3,FALSE)="a",2,0))+IF(ISNA(VLOOKUP(D39,F20:H23,2,FALSE))=TRUE,0,IF(VLOOKUP(D39,F20:H23,2,FALSE)="a",2,0)),0),IF(K40="a",IF(ISNA(VLOOKUP(D40,C20:E24,3,FALSE))=TRUE,0,IF(VLOOKUP(D40,C20:E24,3,FALSE)="a",2,0))+IF(ISNA(VLOOKUP(D40,F20:H23,2,FALSE)),0,IF(VLOOKUP(D40,F20:H23,2,FALSE)="a",2,0)))),5,IF(OR(AND(K39="a",NOT(D39="Bow")),AND(K40="a",NOT(D40="Bow"))),4,0))</f>
        <v>0</v>
      </c>
      <c r="U22" s="11">
        <f>IF(ISNA(VLOOKUP("Grand Weaponmastery",D5:D16,1,FALSE))=FALSE,IF(OR(AND(K39="a",ISNA(VLOOKUP(U43,V32:V40,1,FALSE))=FALSE),AND(K40="a",ISNA(VLOOKUP(U44,V32:V40,1,FALSE))=FALSE),AND(K43="a",ISNA(VLOOKUP(U45,V32:V40,1,FALSE))=FALSE),AND(K44="a",ISNA(VLOOKUP(U46,V32:V40,1,FALSE))=FALSE),AND(K45="a",ISNA(VLOOKUP(U47,V32:V40,1,FALSE))=FALSE),AND(K46="a",ISNA(VLOOKUP(U48,V32:V40,1,FALSE))=FALSE),AND(K47="a",ISNA(VLOOKUP(U49,V32:V40,1,FALSE))=FALSE),AND(K48="a",ISNA(VLOOKUP(U50,V32:V40,1,FALSE))=FALSE),AND(K49="a",ISNA(VLOOKUP(U51,V32:V40,1,FALSE))=FALSE),AND(K50="a",ISNA(VLOOKUP(U52,V32:V40,1,FALSE))=FALSE),AND(K51="a",ISNA(VLOOKUP(U53,V32:V40,1,FALSE))=FALSE),AND(K52="a",ISNA(VLOOKUP(U54,V32:V40,1,FALSE))=FALSE),AND(K53="a",ISNA(VLOOKUP(U55,V32:V40,1,FALSE))=FALSE),AND(K54="a",ISNA(VLOOKUP(U56,V32:V40,1,FALSE))=FALSE)),5,T57),T57)</f>
        <v>0</v>
      </c>
      <c r="V22" s="26" t="s">
        <v>103</v>
      </c>
      <c r="W22" s="56" t="s">
        <v>66</v>
      </c>
      <c r="X22" s="25" t="s">
        <v>71</v>
      </c>
      <c r="Y22" s="56" t="s">
        <v>84</v>
      </c>
      <c r="AE22" s="142"/>
    </row>
    <row r="23" spans="1:31" ht="17.25" thickBot="1" thickTop="1">
      <c r="A23" s="142"/>
      <c r="B23" s="12"/>
      <c r="C23" s="115" t="s">
        <v>16</v>
      </c>
      <c r="D23" s="57"/>
      <c r="E23" s="140"/>
      <c r="F23" s="208" t="s">
        <v>17</v>
      </c>
      <c r="G23" s="209"/>
      <c r="H23" s="140"/>
      <c r="I23" s="172"/>
      <c r="J23" s="173"/>
      <c r="K23" s="173"/>
      <c r="L23" s="15"/>
      <c r="M23" s="148" t="s">
        <v>115</v>
      </c>
      <c r="N23" s="149"/>
      <c r="O23" s="55" t="s">
        <v>114</v>
      </c>
      <c r="P23" s="148" t="s">
        <v>123</v>
      </c>
      <c r="Q23" s="149"/>
      <c r="R23" s="16"/>
      <c r="U23" s="11">
        <f>IF(ISNA(VLOOKUP("Kai-surge",D5:D16,1,FALSE))=FALSE,4,IF(OR(D4="grandmaster",AND(D4="magnakai",COUNTA(D5:D16)&gt;8)),3,2))</f>
        <v>2</v>
      </c>
      <c r="V23" s="65" t="s">
        <v>100</v>
      </c>
      <c r="W23" s="56" t="s">
        <v>63</v>
      </c>
      <c r="X23" s="25" t="s">
        <v>74</v>
      </c>
      <c r="Y23" s="56" t="s">
        <v>85</v>
      </c>
      <c r="AE23" s="142"/>
    </row>
    <row r="24" spans="1:31" ht="17.25" customHeight="1" thickBot="1" thickTop="1">
      <c r="A24" s="142"/>
      <c r="B24" s="12"/>
      <c r="C24" s="115" t="s">
        <v>13</v>
      </c>
      <c r="D24" s="57"/>
      <c r="E24" s="140"/>
      <c r="F24" s="208">
        <f>IF(D4="Kai","","Bow")</f>
      </c>
      <c r="G24" s="209"/>
      <c r="H24" s="140"/>
      <c r="I24" s="158">
        <f>IF(D4="Grandmaster",IF(H24="a",5,5),IF(H24="a",IF(COUNTA(D5:D16)&gt;6,5,3),0))+IF(OR(ISNA(VLOOKUP("Silver Oak Bow of Duadon",D43:H54,1,FALSE))=FALSE,ISNA(VLOOKUP("Silver Oak Bow",D43:H54,1,FALSE))=FALSE),3,0)</f>
        <v>0</v>
      </c>
      <c r="J24" s="159"/>
      <c r="K24" s="159"/>
      <c r="L24" s="15"/>
      <c r="M24" s="58">
        <f>$M$5</f>
        <v>6</v>
      </c>
      <c r="N24" s="59">
        <f>$P$5</f>
        <v>20</v>
      </c>
      <c r="O24" s="64">
        <f>M24-P24</f>
        <v>6</v>
      </c>
      <c r="P24" s="105">
        <v>0</v>
      </c>
      <c r="Q24" s="106">
        <v>0</v>
      </c>
      <c r="R24" s="16"/>
      <c r="U24" s="11">
        <f>IF(SUM(T43:T56)&gt;0,0,IF(OR(D4="grandmaster",AND(D4="magnakai",COUNTA(D5:D16)=10)),IF(AND(D4="grandmaster",COUNTA(D5:D16)&gt;9,ISNA(VLOOKUP("grand weaponmastery",D5:D16,1,FALSE))=FALSE),3,0),IF(AND(D4="magnakai",ISNA(VLOOKUP("Weaponmastery",D5:D16,1,FALSE))=FALSE),IF(COUNTA(D5:D16)&gt;7,-1,IF(COUNTA(D5:D16)&gt;4,-2,-4)),-4)))</f>
        <v>-4</v>
      </c>
      <c r="V24" s="65" t="s">
        <v>101</v>
      </c>
      <c r="W24" s="56" t="s">
        <v>61</v>
      </c>
      <c r="X24" s="25" t="s">
        <v>73</v>
      </c>
      <c r="Y24" s="56" t="s">
        <v>82</v>
      </c>
      <c r="AE24" s="142"/>
    </row>
    <row r="25" spans="1:31" ht="16.5" customHeight="1" thickBot="1" thickTop="1">
      <c r="A25" s="142"/>
      <c r="B25" s="12"/>
      <c r="C25" s="139">
        <f>IF(D4="Magnakai"," * Mark your Weaponskill weapon with 'X' if it is not otherwise selected",IF(D4="Grandmaster"," * Normal Weaponmastery bonuses are automatically included for unchecked weapons",""))</f>
      </c>
      <c r="D25" s="66"/>
      <c r="E25" s="67"/>
      <c r="F25" s="68"/>
      <c r="G25" s="68"/>
      <c r="H25" s="67"/>
      <c r="I25" s="13"/>
      <c r="J25" s="13"/>
      <c r="K25" s="13"/>
      <c r="L25" s="15"/>
      <c r="M25" s="148" t="s">
        <v>115</v>
      </c>
      <c r="N25" s="149"/>
      <c r="O25" s="55" t="s">
        <v>114</v>
      </c>
      <c r="P25" s="148" t="s">
        <v>124</v>
      </c>
      <c r="Q25" s="149"/>
      <c r="R25" s="16"/>
      <c r="U25" s="11">
        <f>3+IF(COUNTA(D5:D16)&gt;7,1,0)</f>
        <v>3</v>
      </c>
      <c r="V25" s="62" t="s">
        <v>104</v>
      </c>
      <c r="W25" s="56" t="s">
        <v>62</v>
      </c>
      <c r="X25" s="25" t="s">
        <v>70</v>
      </c>
      <c r="Y25" s="56" t="s">
        <v>81</v>
      </c>
      <c r="AE25" s="142"/>
    </row>
    <row r="26" spans="1:31" ht="20.25" thickBot="1" thickTop="1">
      <c r="A26" s="142"/>
      <c r="B26" s="12"/>
      <c r="C26" s="219" t="s">
        <v>1</v>
      </c>
      <c r="D26" s="220"/>
      <c r="E26" s="194" t="str">
        <f>"(maximum "&amp;IF(D4="Grandmaster",10,8)&amp;" items including Meals)"</f>
        <v>(maximum 8 items including Meals)</v>
      </c>
      <c r="F26" s="194"/>
      <c r="G26" s="194"/>
      <c r="H26" s="194"/>
      <c r="I26" s="194"/>
      <c r="J26" s="194"/>
      <c r="K26" s="213"/>
      <c r="L26" s="15"/>
      <c r="M26" s="58">
        <f>$M$5</f>
        <v>6</v>
      </c>
      <c r="N26" s="59">
        <f>$P$5</f>
        <v>20</v>
      </c>
      <c r="O26" s="64">
        <f>M26-P26</f>
        <v>6</v>
      </c>
      <c r="P26" s="105">
        <v>0</v>
      </c>
      <c r="Q26" s="106">
        <v>0</v>
      </c>
      <c r="R26" s="16"/>
      <c r="U26" s="11">
        <f>IF(ISNA(VLOOKUP("huntmastery",D5:D16,1,FALSE))=FALSE,IF(ISNA(VLOOKUP("weaponmastery",D5:D16,1,FALSE))=FALSE,1,0)+IF(AND(ISNA(VLOOKUP("pathsmanship",D5:D16,1,FALSE))=FALSE,ISNA(VLOOKUP("invisibility",D5:D16,1,FALSE))=FALSE),1,0),0)+IF(AND(ISNA(VLOOKUP("nexus",D5:D16,1,FALSE))=FALSE,ISNA(VLOOKUP("psi-surge",D5:D16,1,FALSE))=FALSE,ISNA(VLOOKUP("psi-screen",D5:D16,1,FALSE))=FALSE,ISNA(VLOOKUP("divination",D5:D16,1,FALSE))=FALSE),3,0)</f>
        <v>0</v>
      </c>
      <c r="V26" s="65" t="s">
        <v>112</v>
      </c>
      <c r="W26" s="56" t="s">
        <v>67</v>
      </c>
      <c r="X26" s="25" t="s">
        <v>77</v>
      </c>
      <c r="Y26" s="56" t="s">
        <v>88</v>
      </c>
      <c r="AE26" s="142"/>
    </row>
    <row r="27" spans="1:31" ht="17.25" thickBot="1" thickTop="1">
      <c r="A27" s="142"/>
      <c r="B27" s="12"/>
      <c r="C27" s="28">
        <v>1</v>
      </c>
      <c r="D27" s="135"/>
      <c r="E27" s="136"/>
      <c r="F27" s="136"/>
      <c r="G27" s="136"/>
      <c r="H27" s="136"/>
      <c r="I27" s="136"/>
      <c r="J27" s="136"/>
      <c r="K27" s="137"/>
      <c r="L27" s="15"/>
      <c r="M27" s="148" t="s">
        <v>115</v>
      </c>
      <c r="N27" s="149"/>
      <c r="O27" s="55" t="s">
        <v>114</v>
      </c>
      <c r="P27" s="148" t="s">
        <v>125</v>
      </c>
      <c r="Q27" s="149"/>
      <c r="R27" s="16"/>
      <c r="U27" s="11">
        <f>IF(ISNA(VLOOKUP("huntmastery",D5:D16,1,FALSE))=FALSE,IF(ISNA(VLOOKUP("weaponmastery",D5:D16,1,FALSE))=FALSE,2,0)+IF(AND(ISNA(VLOOKUP("pathsmanship",D5:D16,1,FALSE))=FALSE,ISNA(VLOOKUP("invisibility",D5:D16,1,FALSE))=FALSE),3,0),0)+IF(AND(ISNA(VLOOKUP("nexus",D5:D16,1,FALSE))=FALSE,ISNA(VLOOKUP("psi-surge",D5:D16,1,FALSE))=FALSE,ISNA(VLOOKUP("psi-screen",D5:D16,1,FALSE))=FALSE,ISNA(VLOOKUP("divination",D5:D16,1,FALSE))=FALSE),3,0)+IF(AND(ISNA(VLOOKUP("animal control",D5:D16,1,FALSE))=FALSE,ISNA(VLOOKUP("curing",D5:D16,1,FALSE))=FALSE),3,0)</f>
        <v>0</v>
      </c>
      <c r="V27" s="65" t="s">
        <v>113</v>
      </c>
      <c r="W27" s="56" t="s">
        <v>65</v>
      </c>
      <c r="X27" s="25" t="s">
        <v>76</v>
      </c>
      <c r="Y27" s="56" t="s">
        <v>87</v>
      </c>
      <c r="AE27" s="142"/>
    </row>
    <row r="28" spans="1:31" ht="17.25" thickBot="1" thickTop="1">
      <c r="A28" s="142"/>
      <c r="B28" s="12"/>
      <c r="C28" s="28">
        <v>2</v>
      </c>
      <c r="D28" s="135"/>
      <c r="E28" s="136"/>
      <c r="F28" s="136"/>
      <c r="G28" s="136"/>
      <c r="H28" s="136"/>
      <c r="I28" s="136"/>
      <c r="J28" s="136"/>
      <c r="K28" s="137"/>
      <c r="L28" s="15"/>
      <c r="M28" s="58">
        <f>$M$5</f>
        <v>6</v>
      </c>
      <c r="N28" s="59">
        <f>$P$5</f>
        <v>20</v>
      </c>
      <c r="O28" s="64">
        <f>M28-P28</f>
        <v>6</v>
      </c>
      <c r="P28" s="105">
        <v>0</v>
      </c>
      <c r="Q28" s="106">
        <v>0</v>
      </c>
      <c r="R28" s="16"/>
      <c r="W28" s="56" t="s">
        <v>58</v>
      </c>
      <c r="X28" s="25" t="s">
        <v>72</v>
      </c>
      <c r="Y28" s="56" t="s">
        <v>86</v>
      </c>
      <c r="AE28" s="142"/>
    </row>
    <row r="29" spans="1:31" ht="17.25" thickBot="1" thickTop="1">
      <c r="A29" s="142"/>
      <c r="B29" s="12"/>
      <c r="C29" s="28">
        <v>3</v>
      </c>
      <c r="D29" s="135"/>
      <c r="E29" s="136"/>
      <c r="F29" s="136"/>
      <c r="G29" s="136"/>
      <c r="H29" s="136"/>
      <c r="I29" s="136"/>
      <c r="J29" s="136"/>
      <c r="K29" s="137"/>
      <c r="L29" s="15"/>
      <c r="M29" s="148" t="s">
        <v>115</v>
      </c>
      <c r="N29" s="149"/>
      <c r="O29" s="55" t="s">
        <v>114</v>
      </c>
      <c r="P29" s="148" t="s">
        <v>126</v>
      </c>
      <c r="Q29" s="149"/>
      <c r="R29" s="16"/>
      <c r="W29" s="39" t="s">
        <v>21</v>
      </c>
      <c r="X29" s="32" t="s">
        <v>22</v>
      </c>
      <c r="Y29" s="56" t="s">
        <v>89</v>
      </c>
      <c r="AE29" s="142"/>
    </row>
    <row r="30" spans="1:31" ht="17.25" thickBot="1" thickTop="1">
      <c r="A30" s="142"/>
      <c r="B30" s="12"/>
      <c r="C30" s="28">
        <v>4</v>
      </c>
      <c r="D30" s="135"/>
      <c r="E30" s="136"/>
      <c r="F30" s="136"/>
      <c r="G30" s="136"/>
      <c r="H30" s="136"/>
      <c r="I30" s="136"/>
      <c r="J30" s="136"/>
      <c r="K30" s="137"/>
      <c r="L30" s="15"/>
      <c r="M30" s="58">
        <f>$M$5</f>
        <v>6</v>
      </c>
      <c r="N30" s="59">
        <f>$P$5</f>
        <v>20</v>
      </c>
      <c r="O30" s="64">
        <f>M30-P30</f>
        <v>6</v>
      </c>
      <c r="P30" s="105">
        <v>0</v>
      </c>
      <c r="Q30" s="106">
        <v>0</v>
      </c>
      <c r="R30" s="16"/>
      <c r="Y30" s="56" t="s">
        <v>78</v>
      </c>
      <c r="AE30" s="142"/>
    </row>
    <row r="31" spans="1:31" ht="17.25" thickBot="1" thickTop="1">
      <c r="A31" s="142"/>
      <c r="B31" s="12"/>
      <c r="C31" s="28">
        <v>5</v>
      </c>
      <c r="D31" s="135"/>
      <c r="E31" s="136"/>
      <c r="F31" s="136"/>
      <c r="G31" s="136"/>
      <c r="H31" s="136"/>
      <c r="I31" s="136"/>
      <c r="J31" s="136"/>
      <c r="K31" s="137"/>
      <c r="L31" s="15"/>
      <c r="M31" s="148" t="s">
        <v>115</v>
      </c>
      <c r="N31" s="149"/>
      <c r="O31" s="55" t="s">
        <v>114</v>
      </c>
      <c r="P31" s="148" t="s">
        <v>127</v>
      </c>
      <c r="Q31" s="149"/>
      <c r="R31" s="16"/>
      <c r="V31" s="26" t="str">
        <f>IF(D4="kai",IF(ISNA(VLOOKUP("a",U32:V40,2,FALSE))=FALSE,VLOOKUP("a",U32:V40,2,FALSE),"No weapon"),IF(D4="magnakai",IF(ISNA(VLOOKUP("r",U32:W40,3,FALSE))=FALSE,VLOOKUP("r",U32:W40,3,FALSE),"No weapon"),"No weapon"))</f>
        <v>No weapon</v>
      </c>
      <c r="Y31" s="39" t="s">
        <v>23</v>
      </c>
      <c r="AE31" s="142"/>
    </row>
    <row r="32" spans="1:31" ht="17.25" thickBot="1" thickTop="1">
      <c r="A32" s="142"/>
      <c r="B32" s="12"/>
      <c r="C32" s="28">
        <v>6</v>
      </c>
      <c r="D32" s="135"/>
      <c r="E32" s="136"/>
      <c r="F32" s="136"/>
      <c r="G32" s="136"/>
      <c r="H32" s="136"/>
      <c r="I32" s="136"/>
      <c r="J32" s="136"/>
      <c r="K32" s="137"/>
      <c r="L32" s="15"/>
      <c r="M32" s="58">
        <f>$M$5</f>
        <v>6</v>
      </c>
      <c r="N32" s="59">
        <f>$P$5</f>
        <v>20</v>
      </c>
      <c r="O32" s="64">
        <f>M32-P32</f>
        <v>6</v>
      </c>
      <c r="P32" s="105">
        <v>0</v>
      </c>
      <c r="Q32" s="106">
        <v>0</v>
      </c>
      <c r="R32" s="16"/>
      <c r="U32" s="70">
        <f>E20</f>
        <v>0</v>
      </c>
      <c r="V32" s="71">
        <f>IF(U32="a","Axe","")</f>
      </c>
      <c r="W32" s="72">
        <f>IF(U32="r","Axe","")</f>
      </c>
      <c r="AE32" s="142"/>
    </row>
    <row r="33" spans="1:31" ht="17.25" thickBot="1" thickTop="1">
      <c r="A33" s="142"/>
      <c r="B33" s="12"/>
      <c r="C33" s="28">
        <v>7</v>
      </c>
      <c r="D33" s="135"/>
      <c r="E33" s="136"/>
      <c r="F33" s="136"/>
      <c r="G33" s="136"/>
      <c r="H33" s="136"/>
      <c r="I33" s="136"/>
      <c r="J33" s="136"/>
      <c r="K33" s="137"/>
      <c r="L33" s="15"/>
      <c r="M33" s="148" t="s">
        <v>115</v>
      </c>
      <c r="N33" s="149"/>
      <c r="O33" s="55" t="s">
        <v>114</v>
      </c>
      <c r="P33" s="148" t="s">
        <v>128</v>
      </c>
      <c r="Q33" s="149"/>
      <c r="R33" s="16"/>
      <c r="U33" s="73">
        <f>E21</f>
        <v>0</v>
      </c>
      <c r="V33" s="26">
        <f>IF(U33="a","Broadsword","")</f>
      </c>
      <c r="W33" s="74">
        <f>IF(U33="r","Broadsword","")</f>
      </c>
      <c r="AE33" s="142"/>
    </row>
    <row r="34" spans="1:31" ht="17.25" thickBot="1" thickTop="1">
      <c r="A34" s="142"/>
      <c r="B34" s="12"/>
      <c r="C34" s="28">
        <v>8</v>
      </c>
      <c r="D34" s="135"/>
      <c r="E34" s="136"/>
      <c r="F34" s="136"/>
      <c r="G34" s="136"/>
      <c r="H34" s="136"/>
      <c r="I34" s="136"/>
      <c r="J34" s="136"/>
      <c r="K34" s="137"/>
      <c r="L34" s="15"/>
      <c r="M34" s="58">
        <f>$M$5</f>
        <v>6</v>
      </c>
      <c r="N34" s="59">
        <f>$P$5</f>
        <v>20</v>
      </c>
      <c r="O34" s="60">
        <f>M34-P34</f>
        <v>6</v>
      </c>
      <c r="P34" s="105">
        <v>0</v>
      </c>
      <c r="Q34" s="106">
        <v>0</v>
      </c>
      <c r="R34" s="16"/>
      <c r="U34" s="73">
        <f>E22</f>
        <v>0</v>
      </c>
      <c r="V34" s="26">
        <f>IF(U34="a","Dagger","")</f>
      </c>
      <c r="W34" s="74">
        <f>IF(U34="r","Dagger","")</f>
      </c>
      <c r="X34" s="11" t="s">
        <v>116</v>
      </c>
      <c r="AE34" s="142"/>
    </row>
    <row r="35" spans="1:31" ht="17.25" thickBot="1" thickTop="1">
      <c r="A35" s="142"/>
      <c r="B35" s="12"/>
      <c r="C35" s="28">
        <f>IF(D4="Grandmaster","9","")</f>
      </c>
      <c r="D35" s="174"/>
      <c r="E35" s="175"/>
      <c r="F35" s="175"/>
      <c r="G35" s="175"/>
      <c r="H35" s="175"/>
      <c r="I35" s="175"/>
      <c r="J35" s="175"/>
      <c r="K35" s="176"/>
      <c r="L35" s="15"/>
      <c r="M35" s="148" t="s">
        <v>115</v>
      </c>
      <c r="N35" s="149"/>
      <c r="O35" s="55" t="s">
        <v>114</v>
      </c>
      <c r="P35" s="152" t="s">
        <v>129</v>
      </c>
      <c r="Q35" s="153"/>
      <c r="R35" s="16"/>
      <c r="U35" s="73">
        <f>E23</f>
        <v>0</v>
      </c>
      <c r="V35" s="26">
        <f>IF(U35="a","Mace","")</f>
      </c>
      <c r="W35" s="74">
        <f>IF(U35="r","Mace","")</f>
      </c>
      <c r="AE35" s="142"/>
    </row>
    <row r="36" spans="1:31" ht="17.25" thickBot="1" thickTop="1">
      <c r="A36" s="142"/>
      <c r="B36" s="12"/>
      <c r="C36" s="42">
        <f>IF(D4="Grandmaster","10","")</f>
      </c>
      <c r="D36" s="210"/>
      <c r="E36" s="211"/>
      <c r="F36" s="211"/>
      <c r="G36" s="211"/>
      <c r="H36" s="211"/>
      <c r="I36" s="211"/>
      <c r="J36" s="211"/>
      <c r="K36" s="212"/>
      <c r="L36" s="15"/>
      <c r="M36" s="58">
        <f>$M$5</f>
        <v>6</v>
      </c>
      <c r="N36" s="59">
        <f>$P$5</f>
        <v>20</v>
      </c>
      <c r="O36" s="60">
        <f>M36-P36</f>
        <v>6</v>
      </c>
      <c r="P36" s="105">
        <v>0</v>
      </c>
      <c r="Q36" s="106">
        <v>0</v>
      </c>
      <c r="R36" s="16"/>
      <c r="U36" s="73">
        <f>E24</f>
        <v>0</v>
      </c>
      <c r="V36" s="26">
        <f>IF(U36="a","Quarterstaff","")</f>
      </c>
      <c r="W36" s="74">
        <f>IF(U36="r","Quarterstaff","")</f>
      </c>
      <c r="X36" s="11" t="s">
        <v>117</v>
      </c>
      <c r="AE36" s="142"/>
    </row>
    <row r="37" spans="1:31" ht="15" customHeight="1" thickTop="1">
      <c r="A37" s="142"/>
      <c r="B37" s="12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6"/>
      <c r="U37" s="73">
        <f>H20</f>
        <v>0</v>
      </c>
      <c r="V37" s="26">
        <f>IF(U37="a","Short Sword","")</f>
      </c>
      <c r="W37" s="74">
        <f>IF(U37="r","Short Sword","")</f>
      </c>
      <c r="X37" s="11" t="s">
        <v>118</v>
      </c>
      <c r="AE37" s="142"/>
    </row>
    <row r="38" spans="1:31" ht="16.5" customHeight="1" thickBot="1">
      <c r="A38" s="142"/>
      <c r="B38" s="12"/>
      <c r="C38" s="126"/>
      <c r="D38" s="69" t="s">
        <v>0</v>
      </c>
      <c r="E38" s="194" t="s">
        <v>98</v>
      </c>
      <c r="F38" s="194"/>
      <c r="G38" s="194"/>
      <c r="H38" s="194"/>
      <c r="I38" s="75" t="s">
        <v>8</v>
      </c>
      <c r="J38" s="75" t="s">
        <v>9</v>
      </c>
      <c r="K38" s="54" t="s">
        <v>7</v>
      </c>
      <c r="L38" s="15"/>
      <c r="M38" s="156" t="s">
        <v>106</v>
      </c>
      <c r="N38" s="157"/>
      <c r="O38" s="148" t="s">
        <v>107</v>
      </c>
      <c r="P38" s="150"/>
      <c r="Q38" s="151"/>
      <c r="R38" s="16"/>
      <c r="U38" s="73">
        <f>H21</f>
        <v>0</v>
      </c>
      <c r="V38" s="26">
        <f>IF(U38="a","Spear","")</f>
      </c>
      <c r="W38" s="74">
        <f>IF(U38="r","Spear","")</f>
      </c>
      <c r="AE38" s="142"/>
    </row>
    <row r="39" spans="1:31" ht="18" customHeight="1" thickBot="1" thickTop="1">
      <c r="A39" s="142"/>
      <c r="B39" s="12"/>
      <c r="C39" s="76">
        <v>1</v>
      </c>
      <c r="D39" s="145"/>
      <c r="E39" s="146"/>
      <c r="F39" s="146"/>
      <c r="G39" s="146"/>
      <c r="H39" s="147"/>
      <c r="I39" s="116"/>
      <c r="J39" s="117"/>
      <c r="K39" s="129"/>
      <c r="L39" s="37"/>
      <c r="M39" s="78" t="s">
        <v>111</v>
      </c>
      <c r="N39" s="79" t="s">
        <v>110</v>
      </c>
      <c r="O39" s="154" t="s">
        <v>134</v>
      </c>
      <c r="P39" s="155"/>
      <c r="Q39" s="138"/>
      <c r="R39" s="16"/>
      <c r="U39" s="73">
        <f>H22</f>
        <v>0</v>
      </c>
      <c r="V39" s="26">
        <f>IF(U39="a","Sword","")</f>
      </c>
      <c r="W39" s="74">
        <f>IF(U39="r","Sword","")</f>
      </c>
      <c r="AE39" s="142"/>
    </row>
    <row r="40" spans="1:31" ht="18" thickBot="1" thickTop="1">
      <c r="A40" s="142"/>
      <c r="B40" s="12"/>
      <c r="C40" s="80">
        <v>2</v>
      </c>
      <c r="D40" s="145"/>
      <c r="E40" s="146"/>
      <c r="F40" s="146"/>
      <c r="G40" s="146"/>
      <c r="H40" s="147"/>
      <c r="I40" s="117"/>
      <c r="J40" s="117"/>
      <c r="K40" s="130"/>
      <c r="L40" s="15"/>
      <c r="M40" s="198"/>
      <c r="N40" s="199"/>
      <c r="O40" s="132"/>
      <c r="P40" s="133"/>
      <c r="Q40" s="134"/>
      <c r="R40" s="16"/>
      <c r="U40" s="73">
        <f>H23</f>
        <v>0</v>
      </c>
      <c r="V40" s="26">
        <f>IF(U40="a","Warhammer","")</f>
      </c>
      <c r="W40" s="74">
        <f>IF(U40="r","Warhammer","")</f>
      </c>
      <c r="AE40" s="142"/>
    </row>
    <row r="41" spans="1:31" ht="15" customHeight="1" thickTop="1">
      <c r="A41" s="142"/>
      <c r="B41" s="12"/>
      <c r="C41" s="15"/>
      <c r="D41" s="15"/>
      <c r="E41" s="15"/>
      <c r="F41" s="15"/>
      <c r="G41" s="15"/>
      <c r="H41" s="15"/>
      <c r="I41" s="15"/>
      <c r="J41" s="15"/>
      <c r="K41" s="52"/>
      <c r="L41" s="15"/>
      <c r="M41" s="15"/>
      <c r="N41" s="15"/>
      <c r="O41" s="15"/>
      <c r="P41" s="15"/>
      <c r="Q41" s="15"/>
      <c r="R41" s="16"/>
      <c r="U41" s="81">
        <f>H24</f>
        <v>0</v>
      </c>
      <c r="V41" s="82">
        <f>IF(U41="a","Bow","")</f>
      </c>
      <c r="W41" s="83">
        <f>IF(U41="r","Bow","")</f>
      </c>
      <c r="AE41" s="142"/>
    </row>
    <row r="42" spans="1:31" ht="19.5" thickBot="1">
      <c r="A42" s="142"/>
      <c r="B42" s="12"/>
      <c r="C42" s="121"/>
      <c r="D42" s="69"/>
      <c r="E42" s="69" t="s">
        <v>2</v>
      </c>
      <c r="F42" s="123" t="s">
        <v>99</v>
      </c>
      <c r="G42" s="123"/>
      <c r="H42" s="123"/>
      <c r="I42" s="75" t="s">
        <v>8</v>
      </c>
      <c r="J42" s="75" t="s">
        <v>9</v>
      </c>
      <c r="K42" s="54" t="s">
        <v>7</v>
      </c>
      <c r="L42" s="15"/>
      <c r="M42" s="195" t="s">
        <v>109</v>
      </c>
      <c r="N42" s="196"/>
      <c r="O42" s="189"/>
      <c r="P42" s="189"/>
      <c r="Q42" s="190"/>
      <c r="R42" s="16"/>
      <c r="AE42" s="142"/>
    </row>
    <row r="43" spans="1:31" ht="18" thickBot="1" thickTop="1">
      <c r="A43" s="142"/>
      <c r="B43" s="12"/>
      <c r="C43" s="76">
        <v>1</v>
      </c>
      <c r="D43" s="145"/>
      <c r="E43" s="146"/>
      <c r="F43" s="146"/>
      <c r="G43" s="146"/>
      <c r="H43" s="146"/>
      <c r="I43" s="116"/>
      <c r="J43" s="117"/>
      <c r="K43" s="129"/>
      <c r="L43" s="15"/>
      <c r="M43" s="161"/>
      <c r="N43" s="162"/>
      <c r="O43" s="162"/>
      <c r="P43" s="162"/>
      <c r="Q43" s="163"/>
      <c r="R43" s="16"/>
      <c r="T43" s="11">
        <f>IF(OR(U43="None",U43="Bow"),0,IF(K39="a",1,0))</f>
        <v>0</v>
      </c>
      <c r="U43" s="84" t="str">
        <f>IF(OR(LEFT(D39,12)="Quarterstaff",RIGHT(D39,12)="Quarterstaff"),"Quarterstaff",IF(OR(LEFT(D39,11)="short sword",RIGHT(D39,11)="Short Sword"),"Short Sword",IF(OR(LEFT(D39,10)="broadsword",RIGHT(D39,10)="Broadsword"),"Broadsword",IF(OR(LEFT(D39,9)="warhammer",RIGHT(D39,9)="Warhammer"),"Warhammer",IF(OR(LEFT(D39,6)="dagger",RIGHT(D39,6)="dagger"),"Dagger",IF(OR(LEFT(D39,5)="spear",RIGHT(D39,5)="spear"),"Spear",V43))))))</f>
        <v>none</v>
      </c>
      <c r="V43" s="85" t="str">
        <f>IF(OR(LEFT(D39,5)="sword",D39="sommerswerd",RIGHT(D39,5)="sword"),"Sword",IF(OR(LEFT(D39,4)="mace",RIGHT(D39,4)="mace"),"Mace",IF(OR(LEFT(D39,3)="axe",RIGHT(D39,3)="axe"),"Axe",IF(OR(LEFT(D39,3)="bow",RIGHT(D39,3)="bow",LEFT(RIGHT(D39,13),3)="bow"),"Bow","none"))))</f>
        <v>none</v>
      </c>
      <c r="W43" s="86">
        <f>""</f>
      </c>
      <c r="X43" s="11" t="s">
        <v>134</v>
      </c>
      <c r="Y43" s="11" t="s">
        <v>134</v>
      </c>
      <c r="AE43" s="142"/>
    </row>
    <row r="44" spans="1:31" ht="18" thickBot="1" thickTop="1">
      <c r="A44" s="142"/>
      <c r="B44" s="12"/>
      <c r="C44" s="76">
        <v>2</v>
      </c>
      <c r="D44" s="145"/>
      <c r="E44" s="146"/>
      <c r="F44" s="146"/>
      <c r="G44" s="146"/>
      <c r="H44" s="146"/>
      <c r="I44" s="117"/>
      <c r="J44" s="117"/>
      <c r="K44" s="77"/>
      <c r="L44" s="15"/>
      <c r="M44" s="161"/>
      <c r="N44" s="162"/>
      <c r="O44" s="162"/>
      <c r="P44" s="162"/>
      <c r="Q44" s="163"/>
      <c r="R44" s="16"/>
      <c r="T44" s="11">
        <f>IF(OR(U44="None",U44="Bow"),0,IF(K40="a",1,0))</f>
        <v>0</v>
      </c>
      <c r="U44" s="87" t="str">
        <f>IF(OR(LEFT(D40,12)="Quarterstaff",RIGHT(D40,12)="Quarterstaff"),"Quarterstaff",IF(OR(LEFT(D40,11)="short sword",RIGHT(D40,11)="Short Sword"),"Short Sword",IF(OR(LEFT(D40,10)="broadsword",RIGHT(D40,10)="Broadsword"),"Broadsword",IF(OR(LEFT(D40,9)="warhammer",RIGHT(D40,9)="Warhammer"),"Warhammer",IF(OR(LEFT(D40,6)="dagger",RIGHT(D40,6)="dagger"),"Dagger",IF(OR(LEFT(D40,5)="spear",RIGHT(D40,5)="spear"),"Spear",V44))))))</f>
        <v>none</v>
      </c>
      <c r="V44" s="88" t="str">
        <f>IF(OR(LEFT(D40,5)="sword",D40="sommerswerd",RIGHT(D40,5)="sword"),"Sword",IF(OR(LEFT(D40,4)="mace",RIGHT(D40,4)="mace"),"Mace",IF(OR(LEFT(D40,3)="axe",RIGHT(D40,3)="axe"),"Axe",IF(OR(LEFT(D40,3)="bow",RIGHT(D40,3)="bow",LEFT(RIGHT(D40,13),3)="bow"),"Bow","none"))))</f>
        <v>none</v>
      </c>
      <c r="W44" s="11" t="s">
        <v>121</v>
      </c>
      <c r="X44" s="89">
        <f>O20</f>
        <v>6</v>
      </c>
      <c r="Y44" s="90">
        <f>IF(X44&gt;11,11,IF(X44&lt;-11,-11,X44))</f>
        <v>6</v>
      </c>
      <c r="AE44" s="142"/>
    </row>
    <row r="45" spans="1:31" ht="18" thickBot="1" thickTop="1">
      <c r="A45" s="142"/>
      <c r="B45" s="12"/>
      <c r="C45" s="76">
        <v>3</v>
      </c>
      <c r="D45" s="145"/>
      <c r="E45" s="146"/>
      <c r="F45" s="146"/>
      <c r="G45" s="146"/>
      <c r="H45" s="146"/>
      <c r="I45" s="117"/>
      <c r="J45" s="117"/>
      <c r="K45" s="77"/>
      <c r="L45" s="15"/>
      <c r="M45" s="161"/>
      <c r="N45" s="162"/>
      <c r="O45" s="162"/>
      <c r="P45" s="162"/>
      <c r="Q45" s="163"/>
      <c r="R45" s="16"/>
      <c r="T45" s="11">
        <f>IF(OR(U45="None",U45="Bow"),0,IF(K43="a",1,0))</f>
        <v>0</v>
      </c>
      <c r="U45" s="91" t="str">
        <f aca="true" t="shared" si="0" ref="U45:U56">IF(OR(LEFT(D43,12)="Quarterstaff",RIGHT(D43,12)="Quarterstaff"),"Quarterstaff",IF(OR(LEFT(D43,11)="short sword",RIGHT(D43,11)="Short Sword"),"Short Sword",IF(OR(LEFT(D43,10)="broadsword",RIGHT(D43,10)="Broadsword"),"Broadsword",IF(OR(LEFT(D43,9)="warhammer",RIGHT(D43,9)="Warhammer"),"Warhammer",IF(OR(LEFT(D43,6)="dagger",RIGHT(D43,6)="dagger"),"Dagger",IF(OR(LEFT(D43,5)="spear",RIGHT(D43,5)="spear"),"Spear",V45))))))</f>
        <v>none</v>
      </c>
      <c r="V45" s="92" t="str">
        <f aca="true" t="shared" si="1" ref="V45:V56">IF(OR(LEFT(D43,5)="sword",D43="sommerswerd",RIGHT(D43,5)="sword"),"Sword",IF(OR(LEFT(D43,4)="mace",RIGHT(D43,4)="mace"),"Mace",IF(OR(LEFT(D43,3)="axe",RIGHT(D43,3)="axe"),"Axe",IF(OR(LEFT(D43,3)="bow",RIGHT(D43,3)="bow",LEFT(RIGHT(D43,13),3)="bow"),"Bow","none"))))</f>
        <v>none</v>
      </c>
      <c r="W45" s="11" t="s">
        <v>122</v>
      </c>
      <c r="X45" s="89">
        <f>O22</f>
        <v>6</v>
      </c>
      <c r="Y45" s="90">
        <f aca="true" t="shared" si="2" ref="Y45:Y52">IF(X45&gt;11,11,IF(X45&lt;-11,-11,X45))</f>
        <v>6</v>
      </c>
      <c r="AE45" s="142"/>
    </row>
    <row r="46" spans="1:31" ht="18" thickBot="1" thickTop="1">
      <c r="A46" s="142"/>
      <c r="B46" s="12"/>
      <c r="C46" s="76">
        <v>4</v>
      </c>
      <c r="D46" s="145"/>
      <c r="E46" s="146"/>
      <c r="F46" s="146"/>
      <c r="G46" s="146"/>
      <c r="H46" s="146"/>
      <c r="I46" s="117"/>
      <c r="J46" s="117"/>
      <c r="K46" s="77"/>
      <c r="L46" s="15"/>
      <c r="M46" s="161"/>
      <c r="N46" s="162"/>
      <c r="O46" s="162"/>
      <c r="P46" s="162"/>
      <c r="Q46" s="163"/>
      <c r="R46" s="16"/>
      <c r="T46" s="11">
        <f aca="true" t="shared" si="3" ref="T46:T56">IF(OR(U46="None",U46="Bow"),0,IF(K44="a",1,0))</f>
        <v>0</v>
      </c>
      <c r="U46" s="91" t="str">
        <f t="shared" si="0"/>
        <v>none</v>
      </c>
      <c r="V46" s="92" t="str">
        <f t="shared" si="1"/>
        <v>none</v>
      </c>
      <c r="W46" s="11" t="s">
        <v>123</v>
      </c>
      <c r="X46" s="89">
        <f>O24</f>
        <v>6</v>
      </c>
      <c r="Y46" s="90">
        <f t="shared" si="2"/>
        <v>6</v>
      </c>
      <c r="AE46" s="142"/>
    </row>
    <row r="47" spans="1:31" ht="18" thickBot="1" thickTop="1">
      <c r="A47" s="142"/>
      <c r="B47" s="12"/>
      <c r="C47" s="76">
        <v>5</v>
      </c>
      <c r="D47" s="145"/>
      <c r="E47" s="146"/>
      <c r="F47" s="146"/>
      <c r="G47" s="146"/>
      <c r="H47" s="146"/>
      <c r="I47" s="117"/>
      <c r="J47" s="117"/>
      <c r="K47" s="77"/>
      <c r="L47" s="15"/>
      <c r="M47" s="161"/>
      <c r="N47" s="162"/>
      <c r="O47" s="162"/>
      <c r="P47" s="162"/>
      <c r="Q47" s="163"/>
      <c r="R47" s="16"/>
      <c r="T47" s="11">
        <f t="shared" si="3"/>
        <v>0</v>
      </c>
      <c r="U47" s="91" t="str">
        <f t="shared" si="0"/>
        <v>none</v>
      </c>
      <c r="V47" s="92" t="str">
        <f t="shared" si="1"/>
        <v>none</v>
      </c>
      <c r="W47" s="11" t="s">
        <v>124</v>
      </c>
      <c r="X47" s="89">
        <f>O26</f>
        <v>6</v>
      </c>
      <c r="Y47" s="90">
        <f t="shared" si="2"/>
        <v>6</v>
      </c>
      <c r="AE47" s="142"/>
    </row>
    <row r="48" spans="1:31" ht="18" thickBot="1" thickTop="1">
      <c r="A48" s="142"/>
      <c r="B48" s="12"/>
      <c r="C48" s="76">
        <v>6</v>
      </c>
      <c r="D48" s="145"/>
      <c r="E48" s="146"/>
      <c r="F48" s="146"/>
      <c r="G48" s="146"/>
      <c r="H48" s="146"/>
      <c r="I48" s="117"/>
      <c r="J48" s="117"/>
      <c r="K48" s="77"/>
      <c r="L48" s="15"/>
      <c r="M48" s="161"/>
      <c r="N48" s="162"/>
      <c r="O48" s="162"/>
      <c r="P48" s="162"/>
      <c r="Q48" s="163"/>
      <c r="R48" s="16"/>
      <c r="T48" s="11">
        <f t="shared" si="3"/>
        <v>0</v>
      </c>
      <c r="U48" s="91" t="str">
        <f t="shared" si="0"/>
        <v>none</v>
      </c>
      <c r="V48" s="92" t="str">
        <f t="shared" si="1"/>
        <v>none</v>
      </c>
      <c r="W48" s="11" t="s">
        <v>125</v>
      </c>
      <c r="X48" s="89">
        <f>O28</f>
        <v>6</v>
      </c>
      <c r="Y48" s="90">
        <f t="shared" si="2"/>
        <v>6</v>
      </c>
      <c r="AE48" s="142"/>
    </row>
    <row r="49" spans="1:31" ht="18" thickBot="1" thickTop="1">
      <c r="A49" s="142"/>
      <c r="B49" s="12"/>
      <c r="C49" s="76">
        <v>7</v>
      </c>
      <c r="D49" s="145"/>
      <c r="E49" s="146"/>
      <c r="F49" s="146"/>
      <c r="G49" s="146"/>
      <c r="H49" s="146"/>
      <c r="I49" s="117"/>
      <c r="J49" s="117"/>
      <c r="K49" s="77"/>
      <c r="L49" s="15"/>
      <c r="M49" s="161"/>
      <c r="N49" s="162"/>
      <c r="O49" s="162"/>
      <c r="P49" s="162"/>
      <c r="Q49" s="163"/>
      <c r="R49" s="16"/>
      <c r="T49" s="11">
        <f t="shared" si="3"/>
        <v>0</v>
      </c>
      <c r="U49" s="91" t="str">
        <f t="shared" si="0"/>
        <v>none</v>
      </c>
      <c r="V49" s="92" t="str">
        <f t="shared" si="1"/>
        <v>none</v>
      </c>
      <c r="W49" s="11" t="s">
        <v>126</v>
      </c>
      <c r="X49" s="89">
        <f>O30</f>
        <v>6</v>
      </c>
      <c r="Y49" s="90">
        <f t="shared" si="2"/>
        <v>6</v>
      </c>
      <c r="AE49" s="142"/>
    </row>
    <row r="50" spans="1:31" ht="18" thickBot="1" thickTop="1">
      <c r="A50" s="142"/>
      <c r="B50" s="12"/>
      <c r="C50" s="76">
        <v>8</v>
      </c>
      <c r="D50" s="145"/>
      <c r="E50" s="146"/>
      <c r="F50" s="146"/>
      <c r="G50" s="146"/>
      <c r="H50" s="146"/>
      <c r="I50" s="117"/>
      <c r="J50" s="117"/>
      <c r="K50" s="77"/>
      <c r="L50" s="15"/>
      <c r="M50" s="161"/>
      <c r="N50" s="162"/>
      <c r="O50" s="162"/>
      <c r="P50" s="162"/>
      <c r="Q50" s="163"/>
      <c r="R50" s="16"/>
      <c r="T50" s="11">
        <f t="shared" si="3"/>
        <v>0</v>
      </c>
      <c r="U50" s="91" t="str">
        <f t="shared" si="0"/>
        <v>none</v>
      </c>
      <c r="V50" s="92" t="str">
        <f t="shared" si="1"/>
        <v>none</v>
      </c>
      <c r="W50" s="11" t="s">
        <v>127</v>
      </c>
      <c r="X50" s="89">
        <f>O32</f>
        <v>6</v>
      </c>
      <c r="Y50" s="90">
        <f t="shared" si="2"/>
        <v>6</v>
      </c>
      <c r="AE50" s="142"/>
    </row>
    <row r="51" spans="1:31" ht="18" thickBot="1" thickTop="1">
      <c r="A51" s="142"/>
      <c r="B51" s="12"/>
      <c r="C51" s="76">
        <v>9</v>
      </c>
      <c r="D51" s="145"/>
      <c r="E51" s="146"/>
      <c r="F51" s="146"/>
      <c r="G51" s="146"/>
      <c r="H51" s="146"/>
      <c r="I51" s="117"/>
      <c r="J51" s="117"/>
      <c r="K51" s="77"/>
      <c r="L51" s="15"/>
      <c r="M51" s="161"/>
      <c r="N51" s="162"/>
      <c r="O51" s="162"/>
      <c r="P51" s="162"/>
      <c r="Q51" s="163"/>
      <c r="R51" s="16"/>
      <c r="T51" s="11">
        <f t="shared" si="3"/>
        <v>0</v>
      </c>
      <c r="U51" s="91" t="str">
        <f t="shared" si="0"/>
        <v>none</v>
      </c>
      <c r="V51" s="92" t="str">
        <f t="shared" si="1"/>
        <v>none</v>
      </c>
      <c r="W51" s="11" t="s">
        <v>128</v>
      </c>
      <c r="X51" s="89">
        <f>O34</f>
        <v>6</v>
      </c>
      <c r="Y51" s="90">
        <f t="shared" si="2"/>
        <v>6</v>
      </c>
      <c r="AE51" s="142"/>
    </row>
    <row r="52" spans="1:31" ht="18" thickBot="1" thickTop="1">
      <c r="A52" s="142"/>
      <c r="B52" s="12"/>
      <c r="C52" s="76">
        <v>10</v>
      </c>
      <c r="D52" s="145"/>
      <c r="E52" s="146"/>
      <c r="F52" s="146"/>
      <c r="G52" s="146"/>
      <c r="H52" s="146"/>
      <c r="I52" s="117"/>
      <c r="J52" s="117"/>
      <c r="K52" s="77"/>
      <c r="L52" s="15"/>
      <c r="M52" s="161"/>
      <c r="N52" s="162"/>
      <c r="O52" s="162"/>
      <c r="P52" s="162"/>
      <c r="Q52" s="163"/>
      <c r="R52" s="16"/>
      <c r="T52" s="11">
        <f t="shared" si="3"/>
        <v>0</v>
      </c>
      <c r="U52" s="91" t="str">
        <f t="shared" si="0"/>
        <v>none</v>
      </c>
      <c r="V52" s="92" t="str">
        <f t="shared" si="1"/>
        <v>none</v>
      </c>
      <c r="W52" s="11" t="s">
        <v>129</v>
      </c>
      <c r="X52" s="89">
        <f>O36</f>
        <v>6</v>
      </c>
      <c r="Y52" s="90">
        <f t="shared" si="2"/>
        <v>6</v>
      </c>
      <c r="AE52" s="142"/>
    </row>
    <row r="53" spans="1:31" ht="18" thickBot="1" thickTop="1">
      <c r="A53" s="142"/>
      <c r="B53" s="12"/>
      <c r="C53" s="76">
        <v>11</v>
      </c>
      <c r="D53" s="145"/>
      <c r="E53" s="146"/>
      <c r="F53" s="146"/>
      <c r="G53" s="146"/>
      <c r="H53" s="146"/>
      <c r="I53" s="117"/>
      <c r="J53" s="117"/>
      <c r="K53" s="77"/>
      <c r="L53" s="15"/>
      <c r="M53" s="161"/>
      <c r="N53" s="162"/>
      <c r="O53" s="162"/>
      <c r="P53" s="162"/>
      <c r="Q53" s="163"/>
      <c r="R53" s="16"/>
      <c r="T53" s="11">
        <f t="shared" si="3"/>
        <v>0</v>
      </c>
      <c r="U53" s="91" t="str">
        <f t="shared" si="0"/>
        <v>none</v>
      </c>
      <c r="V53" s="92" t="str">
        <f t="shared" si="1"/>
        <v>none</v>
      </c>
      <c r="AE53" s="142"/>
    </row>
    <row r="54" spans="1:31" ht="18" thickBot="1" thickTop="1">
      <c r="A54" s="142"/>
      <c r="B54" s="12"/>
      <c r="C54" s="76">
        <v>12</v>
      </c>
      <c r="D54" s="214"/>
      <c r="E54" s="215"/>
      <c r="F54" s="215"/>
      <c r="G54" s="215"/>
      <c r="H54" s="215"/>
      <c r="I54" s="117"/>
      <c r="J54" s="117"/>
      <c r="K54" s="77"/>
      <c r="L54" s="15"/>
      <c r="M54" s="161"/>
      <c r="N54" s="162"/>
      <c r="O54" s="162"/>
      <c r="P54" s="162"/>
      <c r="Q54" s="163"/>
      <c r="R54" s="16"/>
      <c r="T54" s="11">
        <f t="shared" si="3"/>
        <v>0</v>
      </c>
      <c r="U54" s="91" t="str">
        <f t="shared" si="0"/>
        <v>none</v>
      </c>
      <c r="V54" s="92" t="str">
        <f t="shared" si="1"/>
        <v>none</v>
      </c>
      <c r="AE54" s="142"/>
    </row>
    <row r="55" spans="1:31" ht="18" thickBot="1" thickTop="1">
      <c r="A55" s="142"/>
      <c r="B55" s="12"/>
      <c r="C55" s="93" t="s">
        <v>135</v>
      </c>
      <c r="D55" s="145"/>
      <c r="E55" s="146"/>
      <c r="F55" s="146"/>
      <c r="G55" s="146"/>
      <c r="H55" s="147"/>
      <c r="I55" s="117"/>
      <c r="J55" s="117"/>
      <c r="K55" s="77"/>
      <c r="L55" s="15"/>
      <c r="M55" s="161"/>
      <c r="N55" s="162"/>
      <c r="O55" s="162"/>
      <c r="P55" s="162"/>
      <c r="Q55" s="163"/>
      <c r="R55" s="16"/>
      <c r="T55" s="11">
        <f t="shared" si="3"/>
        <v>0</v>
      </c>
      <c r="U55" s="91" t="str">
        <f t="shared" si="0"/>
        <v>none</v>
      </c>
      <c r="V55" s="92" t="str">
        <f t="shared" si="1"/>
        <v>none</v>
      </c>
      <c r="AE55" s="142"/>
    </row>
    <row r="56" spans="1:31" ht="18" thickBot="1" thickTop="1">
      <c r="A56" s="142"/>
      <c r="B56" s="12"/>
      <c r="C56" s="28" t="s">
        <v>135</v>
      </c>
      <c r="D56" s="145"/>
      <c r="E56" s="146"/>
      <c r="F56" s="146"/>
      <c r="G56" s="146"/>
      <c r="H56" s="146"/>
      <c r="I56" s="117"/>
      <c r="J56" s="117"/>
      <c r="K56" s="77"/>
      <c r="L56" s="15"/>
      <c r="M56" s="161"/>
      <c r="N56" s="162"/>
      <c r="O56" s="162"/>
      <c r="P56" s="162"/>
      <c r="Q56" s="163"/>
      <c r="R56" s="16"/>
      <c r="T56" s="11">
        <f t="shared" si="3"/>
        <v>0</v>
      </c>
      <c r="U56" s="87" t="str">
        <f t="shared" si="0"/>
        <v>none</v>
      </c>
      <c r="V56" s="88" t="str">
        <f t="shared" si="1"/>
        <v>none</v>
      </c>
      <c r="AE56" s="142"/>
    </row>
    <row r="57" spans="1:31" ht="18" thickBot="1" thickTop="1">
      <c r="A57" s="142"/>
      <c r="B57" s="12"/>
      <c r="C57" s="28" t="s">
        <v>135</v>
      </c>
      <c r="D57" s="145"/>
      <c r="E57" s="146"/>
      <c r="F57" s="146"/>
      <c r="G57" s="146"/>
      <c r="H57" s="146"/>
      <c r="I57" s="117"/>
      <c r="J57" s="117"/>
      <c r="K57" s="77"/>
      <c r="L57" s="15"/>
      <c r="M57" s="161"/>
      <c r="N57" s="162"/>
      <c r="O57" s="162"/>
      <c r="P57" s="162"/>
      <c r="Q57" s="163"/>
      <c r="R57" s="16"/>
      <c r="T57" s="11">
        <f>IF(SUM(T43:T56)&gt;0,4,0)</f>
        <v>0</v>
      </c>
      <c r="U57" s="11" t="s">
        <v>119</v>
      </c>
      <c r="AE57" s="142"/>
    </row>
    <row r="58" spans="1:31" ht="18" thickBot="1" thickTop="1">
      <c r="A58" s="142"/>
      <c r="B58" s="12"/>
      <c r="C58" s="28" t="s">
        <v>135</v>
      </c>
      <c r="D58" s="145"/>
      <c r="E58" s="146"/>
      <c r="F58" s="146"/>
      <c r="G58" s="146"/>
      <c r="H58" s="146"/>
      <c r="I58" s="117"/>
      <c r="J58" s="117"/>
      <c r="K58" s="77"/>
      <c r="L58" s="15"/>
      <c r="M58" s="161"/>
      <c r="N58" s="162"/>
      <c r="O58" s="162"/>
      <c r="P58" s="162"/>
      <c r="Q58" s="163"/>
      <c r="R58" s="16"/>
      <c r="AE58" s="142"/>
    </row>
    <row r="59" spans="1:31" ht="18" thickBot="1" thickTop="1">
      <c r="A59" s="142"/>
      <c r="B59" s="12"/>
      <c r="C59" s="42" t="s">
        <v>135</v>
      </c>
      <c r="D59" s="145"/>
      <c r="E59" s="146"/>
      <c r="F59" s="146"/>
      <c r="G59" s="146"/>
      <c r="H59" s="146"/>
      <c r="I59" s="117"/>
      <c r="J59" s="117"/>
      <c r="K59" s="130"/>
      <c r="L59" s="15"/>
      <c r="M59" s="161"/>
      <c r="N59" s="162"/>
      <c r="O59" s="162"/>
      <c r="P59" s="162"/>
      <c r="Q59" s="163"/>
      <c r="R59" s="16"/>
      <c r="T59" s="11" t="s">
        <v>131</v>
      </c>
      <c r="U59" s="11">
        <v>0</v>
      </c>
      <c r="V59" s="11">
        <v>1</v>
      </c>
      <c r="W59" s="11">
        <v>2</v>
      </c>
      <c r="X59" s="26">
        <v>3</v>
      </c>
      <c r="Y59" s="26">
        <v>4</v>
      </c>
      <c r="Z59" s="26">
        <v>5</v>
      </c>
      <c r="AA59" s="26">
        <v>6</v>
      </c>
      <c r="AB59" s="26">
        <v>7</v>
      </c>
      <c r="AC59" s="26">
        <v>8</v>
      </c>
      <c r="AD59" s="26">
        <v>9</v>
      </c>
      <c r="AE59" s="142"/>
    </row>
    <row r="60" spans="1:31" ht="14.25" customHeight="1" thickTop="1">
      <c r="A60" s="142"/>
      <c r="B60" s="12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6"/>
      <c r="T60" s="89">
        <v>-11</v>
      </c>
      <c r="U60" s="11">
        <v>0</v>
      </c>
      <c r="V60" s="94" t="s">
        <v>133</v>
      </c>
      <c r="W60" s="94" t="s">
        <v>133</v>
      </c>
      <c r="X60" s="11">
        <v>8</v>
      </c>
      <c r="Y60" s="26">
        <v>8</v>
      </c>
      <c r="Z60" s="26">
        <v>7</v>
      </c>
      <c r="AA60" s="26">
        <v>6</v>
      </c>
      <c r="AB60" s="26">
        <v>5</v>
      </c>
      <c r="AC60" s="26">
        <v>4</v>
      </c>
      <c r="AD60" s="26">
        <v>3</v>
      </c>
      <c r="AE60" s="142"/>
    </row>
    <row r="61" spans="1:31" ht="21" customHeight="1" thickBot="1">
      <c r="A61" s="142"/>
      <c r="B61" s="12"/>
      <c r="C61" s="127"/>
      <c r="D61" s="128" t="s">
        <v>3</v>
      </c>
      <c r="E61" s="122"/>
      <c r="F61" s="128"/>
      <c r="G61" s="124"/>
      <c r="H61" s="124"/>
      <c r="I61" s="125"/>
      <c r="J61" s="15"/>
      <c r="K61" s="195" t="s">
        <v>108</v>
      </c>
      <c r="L61" s="216"/>
      <c r="M61" s="189"/>
      <c r="N61" s="189"/>
      <c r="O61" s="189"/>
      <c r="P61" s="189"/>
      <c r="Q61" s="190"/>
      <c r="R61" s="16"/>
      <c r="T61" s="89">
        <v>-10</v>
      </c>
      <c r="U61" s="11">
        <v>0</v>
      </c>
      <c r="V61" s="94" t="s">
        <v>133</v>
      </c>
      <c r="W61" s="11">
        <v>8</v>
      </c>
      <c r="X61" s="26">
        <v>7</v>
      </c>
      <c r="Y61" s="26">
        <v>7</v>
      </c>
      <c r="Z61" s="26">
        <v>6</v>
      </c>
      <c r="AA61" s="26">
        <v>6</v>
      </c>
      <c r="AB61" s="26">
        <v>5</v>
      </c>
      <c r="AC61" s="26">
        <v>4</v>
      </c>
      <c r="AD61" s="26">
        <v>3</v>
      </c>
      <c r="AE61" s="142"/>
    </row>
    <row r="62" spans="1:31" ht="17.25" customHeight="1" thickBot="1" thickTop="1">
      <c r="A62" s="142"/>
      <c r="B62" s="12"/>
      <c r="C62" s="95"/>
      <c r="D62" s="96" t="s">
        <v>4</v>
      </c>
      <c r="E62" s="114">
        <v>0</v>
      </c>
      <c r="F62" s="203" t="s">
        <v>141</v>
      </c>
      <c r="G62" s="204"/>
      <c r="H62" s="109">
        <v>0</v>
      </c>
      <c r="I62" s="97"/>
      <c r="J62" s="15"/>
      <c r="K62" s="161"/>
      <c r="L62" s="162"/>
      <c r="M62" s="162"/>
      <c r="N62" s="162"/>
      <c r="O62" s="200"/>
      <c r="P62" s="201"/>
      <c r="Q62" s="202"/>
      <c r="R62" s="16"/>
      <c r="T62" s="89">
        <v>-9</v>
      </c>
      <c r="U62" s="11">
        <v>0</v>
      </c>
      <c r="V62" s="94" t="s">
        <v>133</v>
      </c>
      <c r="W62" s="11">
        <v>8</v>
      </c>
      <c r="X62" s="26">
        <v>7</v>
      </c>
      <c r="Y62" s="26">
        <v>7</v>
      </c>
      <c r="Z62" s="26">
        <v>6</v>
      </c>
      <c r="AA62" s="26">
        <v>6</v>
      </c>
      <c r="AB62" s="26">
        <v>5</v>
      </c>
      <c r="AC62" s="26">
        <v>4</v>
      </c>
      <c r="AD62" s="26">
        <v>3</v>
      </c>
      <c r="AE62" s="142"/>
    </row>
    <row r="63" spans="1:31" ht="17.25" customHeight="1" thickBot="1" thickTop="1">
      <c r="A63" s="142"/>
      <c r="B63" s="12"/>
      <c r="C63" s="95"/>
      <c r="D63" s="96" t="s">
        <v>5</v>
      </c>
      <c r="E63" s="107">
        <v>0</v>
      </c>
      <c r="F63" s="203" t="s">
        <v>142</v>
      </c>
      <c r="G63" s="204"/>
      <c r="H63" s="108">
        <v>0</v>
      </c>
      <c r="I63" s="97"/>
      <c r="J63" s="15"/>
      <c r="K63" s="161"/>
      <c r="L63" s="162"/>
      <c r="M63" s="162"/>
      <c r="N63" s="162"/>
      <c r="O63" s="200"/>
      <c r="P63" s="201"/>
      <c r="Q63" s="202"/>
      <c r="R63" s="16"/>
      <c r="T63" s="89">
        <v>-8</v>
      </c>
      <c r="U63" s="11">
        <v>0</v>
      </c>
      <c r="V63" s="11">
        <v>8</v>
      </c>
      <c r="W63" s="26">
        <v>7</v>
      </c>
      <c r="X63" s="26">
        <v>6</v>
      </c>
      <c r="Y63" s="26">
        <v>6</v>
      </c>
      <c r="Z63" s="26">
        <v>5</v>
      </c>
      <c r="AA63" s="26">
        <v>5</v>
      </c>
      <c r="AB63" s="26">
        <v>4</v>
      </c>
      <c r="AC63" s="26">
        <v>3</v>
      </c>
      <c r="AD63" s="26">
        <v>2</v>
      </c>
      <c r="AE63" s="142"/>
    </row>
    <row r="64" spans="1:31" ht="17.25" customHeight="1" thickBot="1" thickTop="1">
      <c r="A64" s="142"/>
      <c r="B64" s="12"/>
      <c r="C64" s="95"/>
      <c r="D64" s="96" t="s">
        <v>6</v>
      </c>
      <c r="E64" s="108">
        <v>0</v>
      </c>
      <c r="F64" s="203" t="s">
        <v>143</v>
      </c>
      <c r="G64" s="204"/>
      <c r="H64" s="109">
        <v>0</v>
      </c>
      <c r="I64" s="97"/>
      <c r="J64" s="15"/>
      <c r="K64" s="161"/>
      <c r="L64" s="162"/>
      <c r="M64" s="162"/>
      <c r="N64" s="162"/>
      <c r="O64" s="200"/>
      <c r="P64" s="201"/>
      <c r="Q64" s="202"/>
      <c r="R64" s="16"/>
      <c r="T64" s="89">
        <v>-7</v>
      </c>
      <c r="U64" s="11">
        <v>0</v>
      </c>
      <c r="V64" s="11">
        <v>8</v>
      </c>
      <c r="W64" s="26">
        <v>7</v>
      </c>
      <c r="X64" s="26">
        <v>6</v>
      </c>
      <c r="Y64" s="26">
        <v>6</v>
      </c>
      <c r="Z64" s="26">
        <v>5</v>
      </c>
      <c r="AA64" s="26">
        <v>5</v>
      </c>
      <c r="AB64" s="26">
        <v>4</v>
      </c>
      <c r="AC64" s="26">
        <v>3</v>
      </c>
      <c r="AD64" s="26">
        <v>2</v>
      </c>
      <c r="AE64" s="142"/>
    </row>
    <row r="65" spans="1:31" ht="17.25" customHeight="1" thickBot="1" thickTop="1">
      <c r="A65" s="142"/>
      <c r="B65" s="12"/>
      <c r="C65" s="95"/>
      <c r="D65" s="96" t="s">
        <v>19</v>
      </c>
      <c r="E65" s="109">
        <v>0</v>
      </c>
      <c r="F65" s="203" t="s">
        <v>144</v>
      </c>
      <c r="G65" s="204"/>
      <c r="H65" s="107">
        <v>0</v>
      </c>
      <c r="I65" s="97"/>
      <c r="J65" s="15"/>
      <c r="K65" s="161"/>
      <c r="L65" s="162"/>
      <c r="M65" s="162"/>
      <c r="N65" s="162"/>
      <c r="O65" s="200"/>
      <c r="P65" s="201"/>
      <c r="Q65" s="202"/>
      <c r="R65" s="16"/>
      <c r="T65" s="89">
        <v>-6</v>
      </c>
      <c r="U65" s="11">
        <v>0</v>
      </c>
      <c r="V65" s="11">
        <v>6</v>
      </c>
      <c r="W65" s="26">
        <v>6</v>
      </c>
      <c r="X65" s="26">
        <v>5</v>
      </c>
      <c r="Y65" s="26">
        <v>5</v>
      </c>
      <c r="Z65" s="26">
        <v>4</v>
      </c>
      <c r="AA65" s="26">
        <v>4</v>
      </c>
      <c r="AB65" s="26">
        <v>3</v>
      </c>
      <c r="AC65" s="26">
        <v>2</v>
      </c>
      <c r="AD65" s="26">
        <v>0</v>
      </c>
      <c r="AE65" s="142"/>
    </row>
    <row r="66" spans="1:31" ht="18" customHeight="1" thickBot="1" thickTop="1">
      <c r="A66" s="142"/>
      <c r="B66" s="12"/>
      <c r="C66" s="95"/>
      <c r="D66" s="96" t="s">
        <v>20</v>
      </c>
      <c r="E66" s="110">
        <v>0</v>
      </c>
      <c r="F66" s="203" t="s">
        <v>145</v>
      </c>
      <c r="G66" s="204"/>
      <c r="H66" s="108">
        <v>0</v>
      </c>
      <c r="I66" s="97"/>
      <c r="J66" s="15"/>
      <c r="K66" s="161"/>
      <c r="L66" s="162"/>
      <c r="M66" s="162"/>
      <c r="N66" s="162"/>
      <c r="O66" s="200"/>
      <c r="P66" s="201"/>
      <c r="Q66" s="202"/>
      <c r="R66" s="16"/>
      <c r="T66" s="89">
        <v>-5</v>
      </c>
      <c r="U66" s="11">
        <v>0</v>
      </c>
      <c r="V66" s="11">
        <v>6</v>
      </c>
      <c r="W66" s="26">
        <v>6</v>
      </c>
      <c r="X66" s="26">
        <v>5</v>
      </c>
      <c r="Y66" s="26">
        <v>5</v>
      </c>
      <c r="Z66" s="26">
        <v>4</v>
      </c>
      <c r="AA66" s="26">
        <v>4</v>
      </c>
      <c r="AB66" s="26">
        <v>3</v>
      </c>
      <c r="AC66" s="26">
        <v>2</v>
      </c>
      <c r="AD66" s="26">
        <v>0</v>
      </c>
      <c r="AE66" s="142"/>
    </row>
    <row r="67" spans="1:31" ht="17.25" customHeight="1" thickTop="1">
      <c r="A67" s="142"/>
      <c r="B67" s="12"/>
      <c r="C67" s="98"/>
      <c r="D67" s="131" t="s">
        <v>146</v>
      </c>
      <c r="E67" s="99" t="str">
        <f>" "&amp;ROUNDUP(E62+E63/4+E64/10+E65+E66/2+H62+H63/10+H64+H65/4+H66/10,0)&amp;" / 50 "&amp;IF((SUM(E63:E66)+SUM(H62:H66))&gt;0,"equivalent ","")&amp;"Gold Crowns"</f>
        <v> 0 / 50 Gold Crowns</v>
      </c>
      <c r="F67" s="100"/>
      <c r="G67" s="100"/>
      <c r="H67" s="100"/>
      <c r="I67" s="101"/>
      <c r="J67" s="15"/>
      <c r="K67" s="161"/>
      <c r="L67" s="162"/>
      <c r="M67" s="162"/>
      <c r="N67" s="162"/>
      <c r="O67" s="200"/>
      <c r="P67" s="201"/>
      <c r="Q67" s="202"/>
      <c r="R67" s="16"/>
      <c r="T67" s="89">
        <v>-4</v>
      </c>
      <c r="U67" s="11">
        <v>0</v>
      </c>
      <c r="V67" s="11">
        <v>6</v>
      </c>
      <c r="W67" s="26">
        <v>5</v>
      </c>
      <c r="X67" s="26">
        <v>5</v>
      </c>
      <c r="Y67" s="26">
        <v>4</v>
      </c>
      <c r="Z67" s="26">
        <v>4</v>
      </c>
      <c r="AA67" s="26">
        <v>3</v>
      </c>
      <c r="AB67" s="26">
        <v>2</v>
      </c>
      <c r="AC67" s="26">
        <v>1</v>
      </c>
      <c r="AD67" s="26">
        <v>0</v>
      </c>
      <c r="AE67" s="142"/>
    </row>
    <row r="68" spans="1:43" ht="9" customHeight="1">
      <c r="A68" s="142"/>
      <c r="B68" s="102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03"/>
      <c r="T68" s="89">
        <v>-3</v>
      </c>
      <c r="U68" s="11">
        <v>0</v>
      </c>
      <c r="V68" s="11">
        <v>6</v>
      </c>
      <c r="W68" s="26">
        <v>5</v>
      </c>
      <c r="X68" s="26">
        <v>5</v>
      </c>
      <c r="Y68" s="26">
        <v>4</v>
      </c>
      <c r="Z68" s="26">
        <v>4</v>
      </c>
      <c r="AA68" s="26">
        <v>3</v>
      </c>
      <c r="AB68" s="26">
        <v>2</v>
      </c>
      <c r="AC68" s="26">
        <v>1</v>
      </c>
      <c r="AD68" s="26">
        <v>0</v>
      </c>
      <c r="AE68" s="144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</row>
    <row r="69" spans="1:31" ht="12.75">
      <c r="A69" s="142"/>
      <c r="B69" s="142"/>
      <c r="C69" s="142"/>
      <c r="D69" s="142"/>
      <c r="E69" s="142"/>
      <c r="F69" s="142"/>
      <c r="G69" s="142"/>
      <c r="H69" s="142"/>
      <c r="I69" s="142"/>
      <c r="J69" s="142"/>
      <c r="K69" s="142"/>
      <c r="L69" s="142"/>
      <c r="M69" s="142"/>
      <c r="N69" s="142"/>
      <c r="O69" s="142"/>
      <c r="P69" s="142"/>
      <c r="Q69" s="142"/>
      <c r="R69" s="142"/>
      <c r="T69" s="89">
        <v>-2</v>
      </c>
      <c r="U69" s="11">
        <v>0</v>
      </c>
      <c r="V69" s="11">
        <v>5</v>
      </c>
      <c r="W69" s="26">
        <v>5</v>
      </c>
      <c r="X69" s="26">
        <v>4</v>
      </c>
      <c r="Y69" s="26">
        <v>4</v>
      </c>
      <c r="Z69" s="26">
        <v>3</v>
      </c>
      <c r="AA69" s="26">
        <v>2</v>
      </c>
      <c r="AB69" s="26">
        <v>2</v>
      </c>
      <c r="AC69" s="26">
        <v>1</v>
      </c>
      <c r="AD69" s="26">
        <v>0</v>
      </c>
      <c r="AE69" s="142"/>
    </row>
    <row r="70" spans="20:30" ht="12.75">
      <c r="T70" s="89">
        <v>-1</v>
      </c>
      <c r="U70" s="11">
        <v>0</v>
      </c>
      <c r="V70" s="11">
        <v>5</v>
      </c>
      <c r="W70" s="26">
        <v>5</v>
      </c>
      <c r="X70" s="26">
        <v>4</v>
      </c>
      <c r="Y70" s="26">
        <v>4</v>
      </c>
      <c r="Z70" s="26">
        <v>3</v>
      </c>
      <c r="AA70" s="26">
        <v>2</v>
      </c>
      <c r="AB70" s="26">
        <v>2</v>
      </c>
      <c r="AC70" s="26">
        <v>1</v>
      </c>
      <c r="AD70" s="26">
        <v>0</v>
      </c>
    </row>
    <row r="71" spans="20:30" ht="12.75">
      <c r="T71" s="89">
        <v>0</v>
      </c>
      <c r="U71" s="11">
        <v>0</v>
      </c>
      <c r="V71" s="11">
        <v>5</v>
      </c>
      <c r="W71" s="26">
        <v>4</v>
      </c>
      <c r="X71" s="26">
        <v>4</v>
      </c>
      <c r="Y71" s="26">
        <v>3</v>
      </c>
      <c r="Z71" s="26">
        <v>2</v>
      </c>
      <c r="AA71" s="26">
        <v>2</v>
      </c>
      <c r="AB71" s="26">
        <v>1</v>
      </c>
      <c r="AC71" s="26">
        <v>0</v>
      </c>
      <c r="AD71" s="26">
        <v>0</v>
      </c>
    </row>
    <row r="72" spans="20:30" ht="12.75">
      <c r="T72" s="89">
        <v>1</v>
      </c>
      <c r="U72" s="11">
        <v>0</v>
      </c>
      <c r="V72" s="11">
        <v>5</v>
      </c>
      <c r="W72" s="26">
        <v>4</v>
      </c>
      <c r="X72" s="26">
        <v>3</v>
      </c>
      <c r="Y72" s="26">
        <v>3</v>
      </c>
      <c r="Z72" s="26">
        <v>2</v>
      </c>
      <c r="AA72" s="26">
        <v>2</v>
      </c>
      <c r="AB72" s="26">
        <v>1</v>
      </c>
      <c r="AC72" s="26">
        <v>0</v>
      </c>
      <c r="AD72" s="26">
        <v>0</v>
      </c>
    </row>
    <row r="73" spans="20:30" ht="12.75">
      <c r="T73" s="89">
        <v>2</v>
      </c>
      <c r="U73" s="11">
        <v>0</v>
      </c>
      <c r="V73" s="11">
        <v>5</v>
      </c>
      <c r="W73" s="26">
        <v>4</v>
      </c>
      <c r="X73" s="26">
        <v>3</v>
      </c>
      <c r="Y73" s="26">
        <v>3</v>
      </c>
      <c r="Z73" s="26">
        <v>2</v>
      </c>
      <c r="AA73" s="26">
        <v>2</v>
      </c>
      <c r="AB73" s="26">
        <v>1</v>
      </c>
      <c r="AC73" s="26">
        <v>0</v>
      </c>
      <c r="AD73" s="26">
        <v>0</v>
      </c>
    </row>
    <row r="74" spans="20:30" ht="12.75">
      <c r="T74" s="89">
        <v>3</v>
      </c>
      <c r="U74" s="11">
        <v>0</v>
      </c>
      <c r="V74" s="11">
        <v>4</v>
      </c>
      <c r="W74" s="26">
        <v>3</v>
      </c>
      <c r="X74" s="26">
        <v>3</v>
      </c>
      <c r="Y74" s="26">
        <v>2</v>
      </c>
      <c r="Z74" s="26">
        <v>2</v>
      </c>
      <c r="AA74" s="26">
        <v>2</v>
      </c>
      <c r="AB74" s="26">
        <v>1</v>
      </c>
      <c r="AC74" s="26">
        <v>0</v>
      </c>
      <c r="AD74" s="26">
        <v>0</v>
      </c>
    </row>
    <row r="75" spans="20:30" ht="12.75">
      <c r="T75" s="89">
        <v>4</v>
      </c>
      <c r="U75" s="11">
        <v>0</v>
      </c>
      <c r="V75" s="11">
        <v>4</v>
      </c>
      <c r="W75" s="26">
        <v>3</v>
      </c>
      <c r="X75" s="26">
        <v>3</v>
      </c>
      <c r="Y75" s="26">
        <v>2</v>
      </c>
      <c r="Z75" s="26">
        <v>2</v>
      </c>
      <c r="AA75" s="26">
        <v>2</v>
      </c>
      <c r="AB75" s="26">
        <v>1</v>
      </c>
      <c r="AC75" s="26">
        <v>0</v>
      </c>
      <c r="AD75" s="26">
        <v>0</v>
      </c>
    </row>
    <row r="76" spans="20:30" ht="12.75">
      <c r="T76" s="89">
        <v>5</v>
      </c>
      <c r="U76" s="11">
        <v>0</v>
      </c>
      <c r="V76" s="11">
        <v>4</v>
      </c>
      <c r="W76" s="26">
        <v>3</v>
      </c>
      <c r="X76" s="26">
        <v>3</v>
      </c>
      <c r="Y76" s="26">
        <v>2</v>
      </c>
      <c r="Z76" s="26">
        <v>2</v>
      </c>
      <c r="AA76" s="26">
        <v>1</v>
      </c>
      <c r="AB76" s="26">
        <v>0</v>
      </c>
      <c r="AC76" s="26">
        <v>0</v>
      </c>
      <c r="AD76" s="26">
        <v>0</v>
      </c>
    </row>
    <row r="77" spans="20:30" ht="12.75">
      <c r="T77" s="89">
        <v>6</v>
      </c>
      <c r="U77" s="11">
        <v>0</v>
      </c>
      <c r="V77" s="11">
        <v>4</v>
      </c>
      <c r="W77" s="26">
        <v>3</v>
      </c>
      <c r="X77" s="26">
        <v>3</v>
      </c>
      <c r="Y77" s="26">
        <v>2</v>
      </c>
      <c r="Z77" s="26">
        <v>2</v>
      </c>
      <c r="AA77" s="26">
        <v>1</v>
      </c>
      <c r="AB77" s="26">
        <v>0</v>
      </c>
      <c r="AC77" s="26">
        <v>0</v>
      </c>
      <c r="AD77" s="26">
        <v>0</v>
      </c>
    </row>
    <row r="78" spans="20:30" ht="12.75">
      <c r="T78" s="89">
        <v>7</v>
      </c>
      <c r="U78" s="11">
        <v>0</v>
      </c>
      <c r="V78" s="11">
        <v>4</v>
      </c>
      <c r="W78" s="26">
        <v>3</v>
      </c>
      <c r="X78" s="26">
        <v>2</v>
      </c>
      <c r="Y78" s="26">
        <v>2</v>
      </c>
      <c r="Z78" s="26">
        <v>2</v>
      </c>
      <c r="AA78" s="26">
        <v>1</v>
      </c>
      <c r="AB78" s="26">
        <v>0</v>
      </c>
      <c r="AC78" s="26">
        <v>0</v>
      </c>
      <c r="AD78" s="26">
        <v>0</v>
      </c>
    </row>
    <row r="79" spans="20:30" ht="12.75">
      <c r="T79" s="89">
        <v>8</v>
      </c>
      <c r="U79" s="11">
        <v>0</v>
      </c>
      <c r="V79" s="11">
        <v>4</v>
      </c>
      <c r="W79" s="26">
        <v>3</v>
      </c>
      <c r="X79" s="26">
        <v>2</v>
      </c>
      <c r="Y79" s="26">
        <v>2</v>
      </c>
      <c r="Z79" s="26">
        <v>2</v>
      </c>
      <c r="AA79" s="26">
        <v>1</v>
      </c>
      <c r="AB79" s="26">
        <v>0</v>
      </c>
      <c r="AC79" s="26">
        <v>0</v>
      </c>
      <c r="AD79" s="26">
        <v>0</v>
      </c>
    </row>
    <row r="80" spans="20:30" ht="12.75">
      <c r="T80" s="89">
        <v>9</v>
      </c>
      <c r="U80" s="11">
        <v>0</v>
      </c>
      <c r="V80" s="11">
        <v>3</v>
      </c>
      <c r="W80" s="26">
        <v>3</v>
      </c>
      <c r="X80" s="26">
        <v>2</v>
      </c>
      <c r="Y80" s="26">
        <v>2</v>
      </c>
      <c r="Z80" s="26">
        <v>2</v>
      </c>
      <c r="AA80" s="26">
        <v>1</v>
      </c>
      <c r="AB80" s="26">
        <v>0</v>
      </c>
      <c r="AC80" s="26">
        <v>0</v>
      </c>
      <c r="AD80" s="26">
        <v>0</v>
      </c>
    </row>
    <row r="81" spans="20:30" ht="12.75">
      <c r="T81" s="89">
        <v>10</v>
      </c>
      <c r="U81" s="11">
        <v>0</v>
      </c>
      <c r="V81" s="11">
        <v>3</v>
      </c>
      <c r="W81" s="26">
        <v>3</v>
      </c>
      <c r="X81" s="26">
        <v>2</v>
      </c>
      <c r="Y81" s="26">
        <v>2</v>
      </c>
      <c r="Z81" s="26">
        <v>2</v>
      </c>
      <c r="AA81" s="26">
        <v>1</v>
      </c>
      <c r="AB81" s="26">
        <v>0</v>
      </c>
      <c r="AC81" s="26">
        <v>0</v>
      </c>
      <c r="AD81" s="26">
        <v>0</v>
      </c>
    </row>
    <row r="82" spans="20:30" ht="12.75">
      <c r="T82" s="89">
        <v>11</v>
      </c>
      <c r="U82" s="11">
        <v>0</v>
      </c>
      <c r="V82" s="11">
        <v>3</v>
      </c>
      <c r="W82" s="26">
        <v>2</v>
      </c>
      <c r="X82" s="26">
        <v>2</v>
      </c>
      <c r="Y82" s="26">
        <v>2</v>
      </c>
      <c r="Z82" s="26">
        <v>1</v>
      </c>
      <c r="AA82" s="26">
        <v>1</v>
      </c>
      <c r="AB82" s="26">
        <v>0</v>
      </c>
      <c r="AC82" s="26">
        <v>0</v>
      </c>
      <c r="AD82" s="26">
        <v>0</v>
      </c>
    </row>
    <row r="83" spans="20:30" ht="12.75">
      <c r="T83" s="89" t="s">
        <v>134</v>
      </c>
      <c r="U83" s="104" t="str">
        <f aca="true" t="shared" si="4" ref="U83:AD83">$T$83</f>
        <v>n/a</v>
      </c>
      <c r="V83" s="104" t="str">
        <f t="shared" si="4"/>
        <v>n/a</v>
      </c>
      <c r="W83" s="104" t="str">
        <f t="shared" si="4"/>
        <v>n/a</v>
      </c>
      <c r="X83" s="104" t="str">
        <f t="shared" si="4"/>
        <v>n/a</v>
      </c>
      <c r="Y83" s="104" t="str">
        <f t="shared" si="4"/>
        <v>n/a</v>
      </c>
      <c r="Z83" s="104" t="str">
        <f t="shared" si="4"/>
        <v>n/a</v>
      </c>
      <c r="AA83" s="104" t="str">
        <f t="shared" si="4"/>
        <v>n/a</v>
      </c>
      <c r="AB83" s="104" t="str">
        <f t="shared" si="4"/>
        <v>n/a</v>
      </c>
      <c r="AC83" s="104" t="str">
        <f t="shared" si="4"/>
        <v>n/a</v>
      </c>
      <c r="AD83" s="104" t="str">
        <f t="shared" si="4"/>
        <v>n/a</v>
      </c>
    </row>
    <row r="84" ht="12.75">
      <c r="T84" s="89" t="s">
        <v>132</v>
      </c>
    </row>
    <row r="85" spans="20:30" ht="12.75">
      <c r="T85" s="89">
        <v>-11</v>
      </c>
      <c r="U85" s="94">
        <v>6</v>
      </c>
      <c r="V85" s="11">
        <v>0</v>
      </c>
      <c r="W85" s="26">
        <v>0</v>
      </c>
      <c r="X85" s="26">
        <v>0</v>
      </c>
      <c r="Y85" s="26">
        <v>0</v>
      </c>
      <c r="Z85" s="26">
        <v>1</v>
      </c>
      <c r="AA85" s="26">
        <v>2</v>
      </c>
      <c r="AB85" s="26">
        <v>3</v>
      </c>
      <c r="AC85" s="26">
        <v>4</v>
      </c>
      <c r="AD85" s="26">
        <v>5</v>
      </c>
    </row>
    <row r="86" spans="20:30" ht="12.75">
      <c r="T86" s="89">
        <v>-10</v>
      </c>
      <c r="U86" s="94">
        <v>7</v>
      </c>
      <c r="V86" s="11">
        <v>0</v>
      </c>
      <c r="W86" s="26">
        <v>0</v>
      </c>
      <c r="X86" s="26">
        <v>0</v>
      </c>
      <c r="Y86" s="26">
        <v>1</v>
      </c>
      <c r="Z86" s="26">
        <v>2</v>
      </c>
      <c r="AA86" s="26">
        <v>3</v>
      </c>
      <c r="AB86" s="26">
        <v>4</v>
      </c>
      <c r="AC86" s="26">
        <v>5</v>
      </c>
      <c r="AD86" s="26">
        <v>6</v>
      </c>
    </row>
    <row r="87" spans="20:30" ht="12.75">
      <c r="T87" s="89">
        <v>-9</v>
      </c>
      <c r="U87" s="94">
        <v>7</v>
      </c>
      <c r="V87" s="11">
        <v>0</v>
      </c>
      <c r="W87" s="26">
        <v>0</v>
      </c>
      <c r="X87" s="26">
        <v>0</v>
      </c>
      <c r="Y87" s="26">
        <v>1</v>
      </c>
      <c r="Z87" s="26">
        <v>2</v>
      </c>
      <c r="AA87" s="26">
        <v>3</v>
      </c>
      <c r="AB87" s="26">
        <v>4</v>
      </c>
      <c r="AC87" s="26">
        <v>5</v>
      </c>
      <c r="AD87" s="26">
        <v>6</v>
      </c>
    </row>
    <row r="88" spans="20:30" ht="12.75">
      <c r="T88" s="89">
        <v>-8</v>
      </c>
      <c r="U88" s="94">
        <v>8</v>
      </c>
      <c r="V88" s="11">
        <v>0</v>
      </c>
      <c r="W88" s="26">
        <v>0</v>
      </c>
      <c r="X88" s="26">
        <v>1</v>
      </c>
      <c r="Y88" s="26">
        <v>2</v>
      </c>
      <c r="Z88" s="26">
        <v>3</v>
      </c>
      <c r="AA88" s="26">
        <v>4</v>
      </c>
      <c r="AB88" s="26">
        <v>5</v>
      </c>
      <c r="AC88" s="26">
        <v>6</v>
      </c>
      <c r="AD88" s="26">
        <v>7</v>
      </c>
    </row>
    <row r="89" spans="20:30" ht="12.75">
      <c r="T89" s="89">
        <v>-7</v>
      </c>
      <c r="U89" s="94">
        <v>8</v>
      </c>
      <c r="V89" s="11">
        <v>0</v>
      </c>
      <c r="W89" s="26">
        <v>0</v>
      </c>
      <c r="X89" s="26">
        <v>1</v>
      </c>
      <c r="Y89" s="26">
        <v>2</v>
      </c>
      <c r="Z89" s="26">
        <v>3</v>
      </c>
      <c r="AA89" s="26">
        <v>4</v>
      </c>
      <c r="AB89" s="26">
        <v>5</v>
      </c>
      <c r="AC89" s="26">
        <v>6</v>
      </c>
      <c r="AD89" s="26">
        <v>7</v>
      </c>
    </row>
    <row r="90" spans="20:30" ht="12.75">
      <c r="T90" s="89">
        <v>-6</v>
      </c>
      <c r="U90" s="94">
        <v>9</v>
      </c>
      <c r="V90" s="11">
        <v>0</v>
      </c>
      <c r="W90" s="26">
        <v>1</v>
      </c>
      <c r="X90" s="26">
        <v>2</v>
      </c>
      <c r="Y90" s="26">
        <v>3</v>
      </c>
      <c r="Z90" s="26">
        <v>4</v>
      </c>
      <c r="AA90" s="26">
        <v>5</v>
      </c>
      <c r="AB90" s="26">
        <v>6</v>
      </c>
      <c r="AC90" s="26">
        <v>7</v>
      </c>
      <c r="AD90" s="26">
        <v>8</v>
      </c>
    </row>
    <row r="91" spans="20:30" ht="12.75">
      <c r="T91" s="89">
        <v>-5</v>
      </c>
      <c r="U91" s="94">
        <v>9</v>
      </c>
      <c r="V91" s="11">
        <v>0</v>
      </c>
      <c r="W91" s="26">
        <v>1</v>
      </c>
      <c r="X91" s="26">
        <v>2</v>
      </c>
      <c r="Y91" s="26">
        <v>3</v>
      </c>
      <c r="Z91" s="26">
        <v>4</v>
      </c>
      <c r="AA91" s="26">
        <v>5</v>
      </c>
      <c r="AB91" s="26">
        <v>6</v>
      </c>
      <c r="AC91" s="26">
        <v>7</v>
      </c>
      <c r="AD91" s="26">
        <v>8</v>
      </c>
    </row>
    <row r="92" spans="20:30" ht="12.75">
      <c r="T92" s="89">
        <v>-4</v>
      </c>
      <c r="U92" s="94">
        <v>10</v>
      </c>
      <c r="V92" s="11">
        <v>1</v>
      </c>
      <c r="W92" s="26">
        <v>2</v>
      </c>
      <c r="X92" s="26">
        <v>3</v>
      </c>
      <c r="Y92" s="26">
        <v>4</v>
      </c>
      <c r="Z92" s="26">
        <v>5</v>
      </c>
      <c r="AA92" s="26">
        <v>6</v>
      </c>
      <c r="AB92" s="26">
        <v>7</v>
      </c>
      <c r="AC92" s="26">
        <v>8</v>
      </c>
      <c r="AD92" s="26">
        <v>9</v>
      </c>
    </row>
    <row r="93" spans="20:30" ht="12.75">
      <c r="T93" s="89">
        <v>-3</v>
      </c>
      <c r="U93" s="94">
        <v>10</v>
      </c>
      <c r="V93" s="11">
        <v>1</v>
      </c>
      <c r="W93" s="26">
        <v>2</v>
      </c>
      <c r="X93" s="26">
        <v>3</v>
      </c>
      <c r="Y93" s="26">
        <v>4</v>
      </c>
      <c r="Z93" s="26">
        <v>5</v>
      </c>
      <c r="AA93" s="26">
        <v>6</v>
      </c>
      <c r="AB93" s="26">
        <v>7</v>
      </c>
      <c r="AC93" s="26">
        <v>8</v>
      </c>
      <c r="AD93" s="26">
        <v>9</v>
      </c>
    </row>
    <row r="94" spans="20:31" ht="12.75">
      <c r="T94" s="89">
        <v>-2</v>
      </c>
      <c r="U94" s="94">
        <v>11</v>
      </c>
      <c r="V94" s="11">
        <v>2</v>
      </c>
      <c r="W94" s="26">
        <v>3</v>
      </c>
      <c r="X94" s="26">
        <v>4</v>
      </c>
      <c r="Y94" s="26">
        <v>5</v>
      </c>
      <c r="Z94" s="26">
        <v>6</v>
      </c>
      <c r="AA94" s="26">
        <v>7</v>
      </c>
      <c r="AB94" s="26">
        <v>8</v>
      </c>
      <c r="AC94" s="26">
        <v>9</v>
      </c>
      <c r="AD94" s="26">
        <v>10</v>
      </c>
      <c r="AE94" s="26"/>
    </row>
    <row r="95" spans="20:31" ht="12.75">
      <c r="T95" s="89">
        <v>-1</v>
      </c>
      <c r="U95" s="94">
        <v>11</v>
      </c>
      <c r="V95" s="11">
        <v>2</v>
      </c>
      <c r="W95" s="26">
        <v>3</v>
      </c>
      <c r="X95" s="26">
        <v>4</v>
      </c>
      <c r="Y95" s="26">
        <v>5</v>
      </c>
      <c r="Z95" s="26">
        <v>6</v>
      </c>
      <c r="AA95" s="26">
        <v>7</v>
      </c>
      <c r="AB95" s="26">
        <v>8</v>
      </c>
      <c r="AC95" s="26">
        <v>9</v>
      </c>
      <c r="AD95" s="26">
        <v>10</v>
      </c>
      <c r="AE95" s="26"/>
    </row>
    <row r="96" spans="20:30" ht="12.75">
      <c r="T96" s="89">
        <v>0</v>
      </c>
      <c r="U96" s="94">
        <v>12</v>
      </c>
      <c r="V96" s="11">
        <v>3</v>
      </c>
      <c r="W96" s="26">
        <v>4</v>
      </c>
      <c r="X96" s="26">
        <v>5</v>
      </c>
      <c r="Y96" s="26">
        <v>6</v>
      </c>
      <c r="Z96" s="26">
        <v>7</v>
      </c>
      <c r="AA96" s="26">
        <v>8</v>
      </c>
      <c r="AB96" s="26">
        <v>9</v>
      </c>
      <c r="AC96" s="26">
        <v>10</v>
      </c>
      <c r="AD96" s="26">
        <v>11</v>
      </c>
    </row>
    <row r="97" spans="20:30" ht="12.75">
      <c r="T97" s="89">
        <v>1</v>
      </c>
      <c r="U97" s="94">
        <v>14</v>
      </c>
      <c r="V97" s="11">
        <v>4</v>
      </c>
      <c r="W97" s="26">
        <v>5</v>
      </c>
      <c r="X97" s="26">
        <v>6</v>
      </c>
      <c r="Y97" s="26">
        <v>7</v>
      </c>
      <c r="Z97" s="26">
        <v>8</v>
      </c>
      <c r="AA97" s="26">
        <v>9</v>
      </c>
      <c r="AB97" s="26">
        <v>10</v>
      </c>
      <c r="AC97" s="26">
        <v>11</v>
      </c>
      <c r="AD97" s="26">
        <v>12</v>
      </c>
    </row>
    <row r="98" spans="20:30" ht="12.75">
      <c r="T98" s="89">
        <v>2</v>
      </c>
      <c r="U98" s="94">
        <v>14</v>
      </c>
      <c r="V98" s="11">
        <v>4</v>
      </c>
      <c r="W98" s="26">
        <v>5</v>
      </c>
      <c r="X98" s="26">
        <v>6</v>
      </c>
      <c r="Y98" s="26">
        <v>7</v>
      </c>
      <c r="Z98" s="26">
        <v>8</v>
      </c>
      <c r="AA98" s="26">
        <v>9</v>
      </c>
      <c r="AB98" s="26">
        <v>10</v>
      </c>
      <c r="AC98" s="26">
        <v>11</v>
      </c>
      <c r="AD98" s="26">
        <v>12</v>
      </c>
    </row>
    <row r="99" spans="20:30" ht="12.75">
      <c r="T99" s="89">
        <v>3</v>
      </c>
      <c r="U99" s="94">
        <v>16</v>
      </c>
      <c r="V99" s="11">
        <v>5</v>
      </c>
      <c r="W99" s="26">
        <v>6</v>
      </c>
      <c r="X99" s="26">
        <v>7</v>
      </c>
      <c r="Y99" s="26">
        <v>8</v>
      </c>
      <c r="Z99" s="26">
        <v>9</v>
      </c>
      <c r="AA99" s="26">
        <v>10</v>
      </c>
      <c r="AB99" s="26">
        <v>11</v>
      </c>
      <c r="AC99" s="26">
        <v>12</v>
      </c>
      <c r="AD99" s="26">
        <v>14</v>
      </c>
    </row>
    <row r="100" spans="20:30" ht="12.75">
      <c r="T100" s="89">
        <v>4</v>
      </c>
      <c r="U100" s="94">
        <v>16</v>
      </c>
      <c r="V100" s="11">
        <v>5</v>
      </c>
      <c r="W100" s="26">
        <v>6</v>
      </c>
      <c r="X100" s="26">
        <v>7</v>
      </c>
      <c r="Y100" s="26">
        <v>8</v>
      </c>
      <c r="Z100" s="26">
        <v>9</v>
      </c>
      <c r="AA100" s="26">
        <v>10</v>
      </c>
      <c r="AB100" s="26">
        <v>11</v>
      </c>
      <c r="AC100" s="26">
        <v>12</v>
      </c>
      <c r="AD100" s="26">
        <v>14</v>
      </c>
    </row>
    <row r="101" spans="20:30" ht="12.75">
      <c r="T101" s="89">
        <v>5</v>
      </c>
      <c r="U101" s="94">
        <v>18</v>
      </c>
      <c r="V101" s="11">
        <v>6</v>
      </c>
      <c r="W101" s="26">
        <v>7</v>
      </c>
      <c r="X101" s="26">
        <v>8</v>
      </c>
      <c r="Y101" s="26">
        <v>9</v>
      </c>
      <c r="Z101" s="26">
        <v>10</v>
      </c>
      <c r="AA101" s="26">
        <v>11</v>
      </c>
      <c r="AB101" s="26">
        <v>12</v>
      </c>
      <c r="AC101" s="26">
        <v>14</v>
      </c>
      <c r="AD101" s="26">
        <v>16</v>
      </c>
    </row>
    <row r="102" spans="20:30" ht="12.75">
      <c r="T102" s="89">
        <v>6</v>
      </c>
      <c r="U102" s="94">
        <v>18</v>
      </c>
      <c r="V102" s="11">
        <v>6</v>
      </c>
      <c r="W102" s="26">
        <v>7</v>
      </c>
      <c r="X102" s="26">
        <v>8</v>
      </c>
      <c r="Y102" s="26">
        <v>9</v>
      </c>
      <c r="Z102" s="26">
        <v>10</v>
      </c>
      <c r="AA102" s="26">
        <v>11</v>
      </c>
      <c r="AB102" s="26">
        <v>12</v>
      </c>
      <c r="AC102" s="26">
        <v>14</v>
      </c>
      <c r="AD102" s="26">
        <v>16</v>
      </c>
    </row>
    <row r="103" spans="20:30" ht="12.75">
      <c r="T103" s="89">
        <v>7</v>
      </c>
      <c r="U103" s="94" t="s">
        <v>133</v>
      </c>
      <c r="V103" s="11">
        <v>7</v>
      </c>
      <c r="W103" s="26">
        <v>8</v>
      </c>
      <c r="X103" s="26">
        <v>9</v>
      </c>
      <c r="Y103" s="26">
        <v>10</v>
      </c>
      <c r="Z103" s="26">
        <v>11</v>
      </c>
      <c r="AA103" s="26">
        <v>12</v>
      </c>
      <c r="AB103" s="26">
        <v>14</v>
      </c>
      <c r="AC103" s="26">
        <v>16</v>
      </c>
      <c r="AD103" s="26">
        <v>18</v>
      </c>
    </row>
    <row r="104" spans="20:30" ht="12.75">
      <c r="T104" s="89">
        <v>8</v>
      </c>
      <c r="U104" s="94" t="s">
        <v>133</v>
      </c>
      <c r="V104" s="11">
        <v>7</v>
      </c>
      <c r="W104" s="26">
        <v>8</v>
      </c>
      <c r="X104" s="26">
        <v>9</v>
      </c>
      <c r="Y104" s="26">
        <v>10</v>
      </c>
      <c r="Z104" s="26">
        <v>11</v>
      </c>
      <c r="AA104" s="26">
        <v>12</v>
      </c>
      <c r="AB104" s="26">
        <v>14</v>
      </c>
      <c r="AC104" s="26">
        <v>16</v>
      </c>
      <c r="AD104" s="26">
        <v>18</v>
      </c>
    </row>
    <row r="105" spans="20:30" ht="12.75">
      <c r="T105" s="89">
        <v>9</v>
      </c>
      <c r="U105" s="94" t="s">
        <v>133</v>
      </c>
      <c r="V105" s="11">
        <v>8</v>
      </c>
      <c r="W105" s="26">
        <v>9</v>
      </c>
      <c r="X105" s="26">
        <v>10</v>
      </c>
      <c r="Y105" s="26">
        <v>11</v>
      </c>
      <c r="Z105" s="26">
        <v>12</v>
      </c>
      <c r="AA105" s="26">
        <v>14</v>
      </c>
      <c r="AB105" s="26">
        <v>16</v>
      </c>
      <c r="AC105" s="26">
        <v>18</v>
      </c>
      <c r="AD105" s="94" t="s">
        <v>133</v>
      </c>
    </row>
    <row r="106" spans="20:30" ht="12.75">
      <c r="T106" s="89">
        <v>10</v>
      </c>
      <c r="U106" s="94" t="s">
        <v>133</v>
      </c>
      <c r="V106" s="11">
        <v>8</v>
      </c>
      <c r="W106" s="26">
        <v>9</v>
      </c>
      <c r="X106" s="26">
        <v>10</v>
      </c>
      <c r="Y106" s="26">
        <v>11</v>
      </c>
      <c r="Z106" s="26">
        <v>12</v>
      </c>
      <c r="AA106" s="26">
        <v>14</v>
      </c>
      <c r="AB106" s="26">
        <v>16</v>
      </c>
      <c r="AC106" s="26">
        <v>18</v>
      </c>
      <c r="AD106" s="94" t="s">
        <v>133</v>
      </c>
    </row>
    <row r="107" spans="20:30" ht="12.75">
      <c r="T107" s="89">
        <v>11</v>
      </c>
      <c r="U107" s="94" t="s">
        <v>133</v>
      </c>
      <c r="V107" s="11">
        <v>9</v>
      </c>
      <c r="W107" s="26">
        <v>10</v>
      </c>
      <c r="X107" s="26">
        <v>11</v>
      </c>
      <c r="Y107" s="26">
        <v>12</v>
      </c>
      <c r="Z107" s="26">
        <v>14</v>
      </c>
      <c r="AA107" s="26">
        <v>16</v>
      </c>
      <c r="AB107" s="26">
        <v>18</v>
      </c>
      <c r="AC107" s="94" t="s">
        <v>133</v>
      </c>
      <c r="AD107" s="94" t="s">
        <v>133</v>
      </c>
    </row>
    <row r="109" spans="20:30" ht="12.75">
      <c r="T109" s="89"/>
      <c r="U109" s="94"/>
      <c r="W109" s="26"/>
      <c r="X109" s="26"/>
      <c r="Y109" s="26"/>
      <c r="Z109" s="26"/>
      <c r="AA109" s="26"/>
      <c r="AB109" s="26"/>
      <c r="AC109" s="26"/>
      <c r="AD109" s="26"/>
    </row>
    <row r="110" spans="20:30" ht="12.75">
      <c r="T110" s="89"/>
      <c r="U110" s="94"/>
      <c r="W110" s="26"/>
      <c r="X110" s="26"/>
      <c r="Y110" s="26"/>
      <c r="Z110" s="26"/>
      <c r="AA110" s="26"/>
      <c r="AB110" s="26"/>
      <c r="AC110" s="26"/>
      <c r="AD110" s="26"/>
    </row>
    <row r="111" spans="20:30" ht="12.75">
      <c r="T111" s="89"/>
      <c r="U111" s="94"/>
      <c r="W111" s="26"/>
      <c r="X111" s="26"/>
      <c r="Y111" s="26"/>
      <c r="Z111" s="26"/>
      <c r="AA111" s="26"/>
      <c r="AB111" s="26"/>
      <c r="AC111" s="26"/>
      <c r="AD111" s="26"/>
    </row>
    <row r="112" spans="20:30" ht="12.75">
      <c r="T112" s="89"/>
      <c r="U112" s="94"/>
      <c r="W112" s="26"/>
      <c r="X112" s="26"/>
      <c r="Y112" s="26"/>
      <c r="Z112" s="26"/>
      <c r="AA112" s="26"/>
      <c r="AB112" s="26"/>
      <c r="AC112" s="26"/>
      <c r="AD112" s="26"/>
    </row>
    <row r="113" spans="20:30" ht="12.75">
      <c r="T113" s="89"/>
      <c r="U113" s="94"/>
      <c r="W113" s="26"/>
      <c r="X113" s="26"/>
      <c r="Y113" s="26"/>
      <c r="Z113" s="26"/>
      <c r="AA113" s="26"/>
      <c r="AB113" s="26"/>
      <c r="AC113" s="26"/>
      <c r="AD113" s="26"/>
    </row>
    <row r="114" spans="20:30" ht="12.75">
      <c r="T114" s="89"/>
      <c r="U114" s="94"/>
      <c r="W114" s="26"/>
      <c r="X114" s="26"/>
      <c r="Y114" s="26"/>
      <c r="Z114" s="26"/>
      <c r="AA114" s="26"/>
      <c r="AB114" s="26"/>
      <c r="AC114" s="26"/>
      <c r="AD114" s="94"/>
    </row>
    <row r="115" spans="20:30" ht="12.75">
      <c r="T115" s="89"/>
      <c r="U115" s="94"/>
      <c r="W115" s="26"/>
      <c r="X115" s="26"/>
      <c r="Y115" s="26"/>
      <c r="Z115" s="26"/>
      <c r="AA115" s="26"/>
      <c r="AB115" s="26"/>
      <c r="AC115" s="26"/>
      <c r="AD115" s="94"/>
    </row>
    <row r="116" spans="20:30" ht="12.75">
      <c r="T116" s="89"/>
      <c r="U116" s="94"/>
      <c r="W116" s="26"/>
      <c r="X116" s="26"/>
      <c r="Y116" s="26"/>
      <c r="Z116" s="26"/>
      <c r="AA116" s="26"/>
      <c r="AB116" s="26"/>
      <c r="AC116" s="94"/>
      <c r="AD116" s="94"/>
    </row>
  </sheetData>
  <sheetProtection sheet="1" objects="1" scenarios="1"/>
  <mergeCells count="139">
    <mergeCell ref="F66:G66"/>
    <mergeCell ref="D15:E15"/>
    <mergeCell ref="D16:E16"/>
    <mergeCell ref="D17:G19"/>
    <mergeCell ref="F23:G23"/>
    <mergeCell ref="F22:G22"/>
    <mergeCell ref="F20:G20"/>
    <mergeCell ref="C26:D26"/>
    <mergeCell ref="F63:G63"/>
    <mergeCell ref="F64:G64"/>
    <mergeCell ref="D52:H52"/>
    <mergeCell ref="D53:H53"/>
    <mergeCell ref="D54:H54"/>
    <mergeCell ref="D55:H55"/>
    <mergeCell ref="D56:H56"/>
    <mergeCell ref="D57:H57"/>
    <mergeCell ref="D58:H58"/>
    <mergeCell ref="D51:H51"/>
    <mergeCell ref="E26:K26"/>
    <mergeCell ref="F62:G62"/>
    <mergeCell ref="K61:L61"/>
    <mergeCell ref="F12:K12"/>
    <mergeCell ref="F13:K13"/>
    <mergeCell ref="F14:K14"/>
    <mergeCell ref="F65:G65"/>
    <mergeCell ref="F15:K15"/>
    <mergeCell ref="F16:K16"/>
    <mergeCell ref="F21:G21"/>
    <mergeCell ref="F24:G24"/>
    <mergeCell ref="D36:K36"/>
    <mergeCell ref="D43:H43"/>
    <mergeCell ref="K67:N67"/>
    <mergeCell ref="O62:Q62"/>
    <mergeCell ref="O63:Q63"/>
    <mergeCell ref="O64:Q64"/>
    <mergeCell ref="O65:Q65"/>
    <mergeCell ref="O66:Q66"/>
    <mergeCell ref="O67:Q67"/>
    <mergeCell ref="K63:N63"/>
    <mergeCell ref="K64:N64"/>
    <mergeCell ref="K65:N65"/>
    <mergeCell ref="K66:N66"/>
    <mergeCell ref="M58:Q58"/>
    <mergeCell ref="M59:Q59"/>
    <mergeCell ref="K62:N62"/>
    <mergeCell ref="M61:Q61"/>
    <mergeCell ref="M42:N42"/>
    <mergeCell ref="I17:K18"/>
    <mergeCell ref="M40:N40"/>
    <mergeCell ref="L17:N17"/>
    <mergeCell ref="O42:Q42"/>
    <mergeCell ref="M54:Q54"/>
    <mergeCell ref="M55:Q55"/>
    <mergeCell ref="M56:Q56"/>
    <mergeCell ref="M46:Q46"/>
    <mergeCell ref="M47:Q47"/>
    <mergeCell ref="M48:Q48"/>
    <mergeCell ref="M49:Q49"/>
    <mergeCell ref="M43:Q43"/>
    <mergeCell ref="M44:Q44"/>
    <mergeCell ref="M57:Q57"/>
    <mergeCell ref="M50:Q50"/>
    <mergeCell ref="M51:Q51"/>
    <mergeCell ref="M52:Q52"/>
    <mergeCell ref="M53:Q53"/>
    <mergeCell ref="L16:N16"/>
    <mergeCell ref="M12:N12"/>
    <mergeCell ref="D11:E11"/>
    <mergeCell ref="D12:E12"/>
    <mergeCell ref="D13:E13"/>
    <mergeCell ref="D14:E14"/>
    <mergeCell ref="M13:N13"/>
    <mergeCell ref="M14:N14"/>
    <mergeCell ref="M15:N15"/>
    <mergeCell ref="F11:K11"/>
    <mergeCell ref="M4:N4"/>
    <mergeCell ref="P4:Q4"/>
    <mergeCell ref="M5:N7"/>
    <mergeCell ref="P5:Q7"/>
    <mergeCell ref="D59:H59"/>
    <mergeCell ref="I4:K4"/>
    <mergeCell ref="D27:K27"/>
    <mergeCell ref="I23:K23"/>
    <mergeCell ref="D9:E9"/>
    <mergeCell ref="D46:H46"/>
    <mergeCell ref="D33:K33"/>
    <mergeCell ref="D34:K34"/>
    <mergeCell ref="D35:K35"/>
    <mergeCell ref="D5:E5"/>
    <mergeCell ref="M45:Q45"/>
    <mergeCell ref="D10:E10"/>
    <mergeCell ref="F6:K6"/>
    <mergeCell ref="F7:K7"/>
    <mergeCell ref="F8:K8"/>
    <mergeCell ref="F9:K9"/>
    <mergeCell ref="F10:K10"/>
    <mergeCell ref="D45:H45"/>
    <mergeCell ref="D32:K32"/>
    <mergeCell ref="D6:E6"/>
    <mergeCell ref="D48:H48"/>
    <mergeCell ref="D49:H49"/>
    <mergeCell ref="D50:H50"/>
    <mergeCell ref="C2:K2"/>
    <mergeCell ref="F5:K5"/>
    <mergeCell ref="D7:E7"/>
    <mergeCell ref="D8:E8"/>
    <mergeCell ref="D4:F4"/>
    <mergeCell ref="G4:H4"/>
    <mergeCell ref="E38:H38"/>
    <mergeCell ref="D28:K28"/>
    <mergeCell ref="D29:K29"/>
    <mergeCell ref="I24:K24"/>
    <mergeCell ref="D47:H47"/>
    <mergeCell ref="D44:H44"/>
    <mergeCell ref="P19:Q19"/>
    <mergeCell ref="D31:K31"/>
    <mergeCell ref="P25:Q25"/>
    <mergeCell ref="M23:N23"/>
    <mergeCell ref="P23:Q23"/>
    <mergeCell ref="M21:N21"/>
    <mergeCell ref="P21:Q21"/>
    <mergeCell ref="M27:N27"/>
    <mergeCell ref="D30:K30"/>
    <mergeCell ref="M19:N19"/>
    <mergeCell ref="P27:Q27"/>
    <mergeCell ref="M25:N25"/>
    <mergeCell ref="O38:Q38"/>
    <mergeCell ref="P35:Q35"/>
    <mergeCell ref="M29:N29"/>
    <mergeCell ref="P29:Q29"/>
    <mergeCell ref="M33:N33"/>
    <mergeCell ref="M38:N38"/>
    <mergeCell ref="M35:N35"/>
    <mergeCell ref="D39:H39"/>
    <mergeCell ref="D40:H40"/>
    <mergeCell ref="P33:Q33"/>
    <mergeCell ref="M31:N31"/>
    <mergeCell ref="P31:Q31"/>
    <mergeCell ref="O39:Q40"/>
  </mergeCells>
  <conditionalFormatting sqref="M39">
    <cfRule type="expression" priority="1" dxfId="0" stopIfTrue="1">
      <formula>ISNA(VLOOKUP("Quiver",D43:D59,1,FALSE))=FALSE</formula>
    </cfRule>
    <cfRule type="expression" priority="2" dxfId="1" stopIfTrue="1">
      <formula>ISNA(VLOOKUP("Quiver",D43:D59,1,FALSE))=TRUE</formula>
    </cfRule>
  </conditionalFormatting>
  <conditionalFormatting sqref="N39">
    <cfRule type="expression" priority="3" dxfId="0" stopIfTrue="1">
      <formula>ISNA(VLOOKUP("Quiver",D43:D59,1,FALSE))=TRUE</formula>
    </cfRule>
    <cfRule type="expression" priority="4" dxfId="1" stopIfTrue="1">
      <formula>ISNA(VLOOKUP("Quiver",D43:D59,1,FALSE))=FALSE</formula>
    </cfRule>
  </conditionalFormatting>
  <conditionalFormatting sqref="C18 H18">
    <cfRule type="expression" priority="5" dxfId="0" stopIfTrue="1">
      <formula>1</formula>
    </cfRule>
  </conditionalFormatting>
  <conditionalFormatting sqref="E62:E66 H62:H66">
    <cfRule type="cellIs" priority="6" dxfId="2" operator="equal" stopIfTrue="1">
      <formula>0</formula>
    </cfRule>
  </conditionalFormatting>
  <conditionalFormatting sqref="C35">
    <cfRule type="expression" priority="7" dxfId="3" stopIfTrue="1">
      <formula>C35=""</formula>
    </cfRule>
  </conditionalFormatting>
  <conditionalFormatting sqref="C36">
    <cfRule type="expression" priority="8" dxfId="4" stopIfTrue="1">
      <formula>C36=""</formula>
    </cfRule>
  </conditionalFormatting>
  <conditionalFormatting sqref="D35:K36">
    <cfRule type="expression" priority="9" dxfId="4" stopIfTrue="1">
      <formula>$C$35=""</formula>
    </cfRule>
  </conditionalFormatting>
  <conditionalFormatting sqref="C16:K16">
    <cfRule type="expression" priority="10" dxfId="4" stopIfTrue="1">
      <formula>$C$15=""</formula>
    </cfRule>
  </conditionalFormatting>
  <conditionalFormatting sqref="C15:K15">
    <cfRule type="expression" priority="11" dxfId="3" stopIfTrue="1">
      <formula>$C$15=""</formula>
    </cfRule>
  </conditionalFormatting>
  <dataValidations count="17">
    <dataValidation type="list" allowBlank="1" showInputMessage="1" showErrorMessage="1" sqref="D4">
      <formula1>Discs</formula1>
    </dataValidation>
    <dataValidation type="list" allowBlank="1" showInputMessage="1" showErrorMessage="1" sqref="D5:D16 E6:E14">
      <formula1>IF(C5="",Blank,IF($D$4="Kai",Kai,IF($D$4="Magnakai",Magnakai,IF($D$4="Grandmaster",Grandmaster,Blank))))</formula1>
    </dataValidation>
    <dataValidation type="list" allowBlank="1" showInputMessage="1" showErrorMessage="1" sqref="K43:K59 E25 H24:H25 K39:K40 O18">
      <formula1>Check</formula1>
    </dataValidation>
    <dataValidation type="list" allowBlank="1" showInputMessage="1" showErrorMessage="1" sqref="H20:H23 E21:E24">
      <formula1>IF($D$4="Magnakai",Checkplus,Check)</formula1>
    </dataValidation>
    <dataValidation type="list" allowBlank="1" showInputMessage="1" showErrorMessage="1" sqref="O12:O14">
      <formula1>IF(RIGHT(LEFT(M12,11),1)="a",Check,Blank)</formula1>
    </dataValidation>
    <dataValidation type="list" allowBlank="1" showInputMessage="1" showErrorMessage="1" sqref="O17">
      <formula1>IF(RIGHT(LEFT(L17,13),1)="a",Check,Blank)</formula1>
    </dataValidation>
    <dataValidation type="list" allowBlank="1" showInputMessage="1" showErrorMessage="1" sqref="O16">
      <formula1>IF(RIGHT(LEFT(L16,9),1)="a",Check,Blank)</formula1>
    </dataValidation>
    <dataValidation type="list" allowBlank="1" showInputMessage="1" showErrorMessage="1" sqref="Q12">
      <formula1>pick</formula1>
    </dataValidation>
    <dataValidation type="list" allowBlank="1" showInputMessage="1" showErrorMessage="1" sqref="Q15">
      <formula1>CR</formula1>
    </dataValidation>
    <dataValidation type="whole" allowBlank="1" showInputMessage="1" showErrorMessage="1" sqref="P36:Q36 M9 P20:Q20 P22:Q22 P24:Q24 P26:Q26 P28:Q28 P30:Q30 P32:Q32 P34:Q34 P9">
      <formula1>0</formula1>
      <formula2>99</formula2>
    </dataValidation>
    <dataValidation type="whole" allowBlank="1" showInputMessage="1" showErrorMessage="1" sqref="N10 Q10 I39:J40 I43:J59">
      <formula1>-99</formula1>
      <formula2>99</formula2>
    </dataValidation>
    <dataValidation errorStyle="information" type="whole" allowBlank="1" showInputMessage="1" showErrorMessage="1" errorTitle="Too many arrows" error="A quiver can only hold six arrows" sqref="O39:Q40">
      <formula1>0</formula1>
      <formula2>6</formula2>
    </dataValidation>
    <dataValidation type="whole" showInputMessage="1" showErrorMessage="1" sqref="E62:E66">
      <formula1>0</formula1>
      <formula2>999</formula2>
    </dataValidation>
    <dataValidation type="whole" allowBlank="1" showInputMessage="1" showErrorMessage="1" sqref="H62:H66">
      <formula1>0</formula1>
      <formula2>999</formula2>
    </dataValidation>
    <dataValidation type="whole" allowBlank="1" showInputMessage="1" showErrorMessage="1" errorTitle="Negative damage" error="Enter the damge received as a positive value. It will be deducted from your COMBAT SKILL" sqref="N9">
      <formula1>0</formula1>
      <formula2>99</formula2>
    </dataValidation>
    <dataValidation type="whole" allowBlank="1" showInputMessage="1" showErrorMessage="1" errorTitle="Negative damage" error="Enter the damage as a positive value. It will be deducted from your ENDURANCE POINTS" sqref="Q9">
      <formula1>0</formula1>
      <formula2>99</formula2>
    </dataValidation>
    <dataValidation type="list" allowBlank="1" showInputMessage="1" showErrorMessage="1" sqref="E20">
      <formula1>IF($D$4="Magnakai",Checkplus,Check)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</dc:creator>
  <cp:keywords/>
  <dc:description/>
  <cp:lastModifiedBy>Michael</cp:lastModifiedBy>
  <dcterms:created xsi:type="dcterms:W3CDTF">2015-03-06T23:48:02Z</dcterms:created>
  <dcterms:modified xsi:type="dcterms:W3CDTF">2015-03-29T08:19:50Z</dcterms:modified>
  <cp:category/>
  <cp:version/>
  <cp:contentType/>
  <cp:contentStatus/>
</cp:coreProperties>
</file>